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ontariohealth.sharepoint.com/sites/OHCentralPAFA/040_Funding/100_Transfer-Payments/M00000_Reallocations/00_Master/202425/"/>
    </mc:Choice>
  </mc:AlternateContent>
  <xr:revisionPtr revIDLastSave="791" documentId="8_{DDFBA754-DC8A-4935-B15F-35E2566E6186}" xr6:coauthVersionLast="47" xr6:coauthVersionMax="47" xr10:uidLastSave="{8F93A217-CC5D-46E1-9D91-19DE90F472E4}"/>
  <bookViews>
    <workbookView xWindow="28680" yWindow="-2940" windowWidth="29040" windowHeight="15840" activeTab="2" xr2:uid="{00000000-000D-0000-FFFF-FFFF00000000}"/>
  </bookViews>
  <sheets>
    <sheet name="ReadMe" sheetId="8" r:id="rId1"/>
    <sheet name="HSP Info" sheetId="1" r:id="rId2"/>
    <sheet name="Forecasted Surplus" sheetId="2" r:id="rId3"/>
    <sheet name="Request to Use Surplus" sheetId="3" r:id="rId4"/>
    <sheet name="Recovery" sheetId="9" r:id="rId5"/>
    <sheet name="FC" sheetId="6" state="hidden" r:id="rId6"/>
    <sheet name="Drop-Downs" sheetId="4" state="hidden" r:id="rId7"/>
  </sheets>
  <definedNames>
    <definedName name="_ftn1" localSheetId="2">'Forecasted Surplus'!$G$30</definedName>
    <definedName name="_ftn2" localSheetId="2">#REF!</definedName>
    <definedName name="_ftnref1" localSheetId="2">'Forecasted Surplus'!$G$11</definedName>
    <definedName name="_ftnref2" localSheetId="2">'Forecasted Surplus'!#REF!</definedName>
    <definedName name="Cell_SurplusReq">CELL("Filename",'Request to Use Surplus'!$A$1)</definedName>
    <definedName name="Check_Realloc">TPBE[Reallocation DD Check]</definedName>
    <definedName name="Check_Req">TPBE[Request DD Check]</definedName>
    <definedName name="Count_Recoveries">SUM(Surplus[[#Totals],[Add to Recoveries]],Requests[[#Totals],[Reallocation Type]])</definedName>
    <definedName name="Count_Recoveries_New">Surplus[[#Totals],[Add to Recoveries]]</definedName>
    <definedName name="Count_TPBE_CHC">COUNTIFS(Surplus[Sector],"CHC")</definedName>
    <definedName name="Count_TPBE_CSS">COUNTIFS(Surplus[Sector],"CSS")</definedName>
    <definedName name="Count_TPBE_MHA">COUNTIFS(Surplus[Sector],"MHA")</definedName>
    <definedName name="Count_TPBE_OHHC">COUNTIFS(Surplus[Sector],"OH-HC")</definedName>
    <definedName name="Count_TPBE_POMS">COUNTIFS(Surplus[Sector],"POMS")</definedName>
    <definedName name="Count_TPBE_SF">COUNTIFS(Surplus[Sector],"SF")</definedName>
    <definedName name="Count_TPBE_SH">COUNTIFS(Surplus[Sector],"SH")</definedName>
    <definedName name="Count_TPBE_Surplus_List">COUNT(#REF!)</definedName>
    <definedName name="DD_FundingSource">TPBE[Restricted DD List]</definedName>
    <definedName name="DD_Realloc">TPBE[Reallocation DD]</definedName>
    <definedName name="DD_Req">TPBE[Request DD]</definedName>
    <definedName name="DDFilter_Realloc">OFFSET(DD_Realloc,,,COUNTIFS(Check_Realloc,TRUE))</definedName>
    <definedName name="DDFilter_Req">OFFSET(DD_Req,,,COUNTIFS(Check_Req,TRUE))</definedName>
    <definedName name="FC_Surplus">'Forecasted Surplus'!$L$30</definedName>
    <definedName name="Header_FundingSource">TPBE[[#Headers],[Restricted DD List]]</definedName>
    <definedName name="Header_Realloc">TPBE[[#Headers],[Reallocation DD]]</definedName>
    <definedName name="Header_Req">TPBE[[#Headers],[Request DD]]</definedName>
    <definedName name="Headers_TPBE_FC">Table4[#Headers]</definedName>
    <definedName name="List_FC">OHRS[Functional Centre Name and Number]</definedName>
    <definedName name="List_HSP">Agencies[Proper]</definedName>
    <definedName name="List_LHIN">Agencies[LHIN]</definedName>
    <definedName name="List_TPBE">TPBE[TPBE]</definedName>
    <definedName name="OHRS_FC">OHRS[Functional Centre Name and Number]</definedName>
    <definedName name="OHRS_M">OHRS[[Full-time equivalents (FTE)]:[Mental Health Sessions]]</definedName>
    <definedName name="OHRSM_Index">FC!$C$1:$P$1</definedName>
    <definedName name="Surplus_DD_Count">COUNT(#REF!)</definedName>
    <definedName name="Surplus_DD_FC_Header">#REF!</definedName>
    <definedName name="Surplus_DD_TPBE_Header">#REF!</definedName>
    <definedName name="Surplus_FC_Header">'Forecasted Surplus'!$H$11</definedName>
    <definedName name="Surplus_FC_List">Surplus[Functional Centre]</definedName>
    <definedName name="Surplus_TPBE_Header">'Forecasted Surplus'!$G$11</definedName>
    <definedName name="Surplus_TPBE_List">Surplus[TPBE]</definedName>
    <definedName name="TPBE_CHC">#REF!</definedName>
    <definedName name="TPBE_CSS">#REF!</definedName>
    <definedName name="TPBE_FC_DD_Index">Table4[Index]</definedName>
    <definedName name="TPBE_MHA">#REF!</definedName>
    <definedName name="TPBE_Surplus_DD_List">#REF!</definedName>
    <definedName name="TPBE_Surplus_List">#REF!</definedName>
    <definedName name="WS_SurplusReq">RIGHT(Cell_SurplusReq,SUM(LEN(Cell_SurplusReq)-FIND("[",Cell_SurplusReq),1))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55" i="4" l="1"/>
  <c r="AH154" i="4"/>
  <c r="AH153" i="4"/>
  <c r="AH152" i="4"/>
  <c r="AH151" i="4"/>
  <c r="AH150" i="4"/>
  <c r="AH149" i="4"/>
  <c r="AH148" i="4"/>
  <c r="AH147" i="4"/>
  <c r="AH146" i="4"/>
  <c r="AH145" i="4"/>
  <c r="AH144" i="4"/>
  <c r="AH143" i="4"/>
  <c r="AH142" i="4"/>
  <c r="AH141" i="4"/>
  <c r="AH140" i="4"/>
  <c r="AH139" i="4"/>
  <c r="AH138" i="4"/>
  <c r="AH137" i="4"/>
  <c r="AH136" i="4"/>
  <c r="AH135" i="4"/>
  <c r="AH134" i="4"/>
  <c r="AH133" i="4"/>
  <c r="AH132" i="4"/>
  <c r="AH131" i="4"/>
  <c r="AH130" i="4"/>
  <c r="AH129" i="4"/>
  <c r="AH128" i="4"/>
  <c r="AH127" i="4"/>
  <c r="AH126" i="4"/>
  <c r="AH125" i="4"/>
  <c r="AH124" i="4"/>
  <c r="AH123" i="4"/>
  <c r="AH122" i="4"/>
  <c r="AH121" i="4"/>
  <c r="AH120" i="4"/>
  <c r="AH119" i="4"/>
  <c r="AH118" i="4"/>
  <c r="AH117" i="4"/>
  <c r="AH116" i="4"/>
  <c r="AH115" i="4"/>
  <c r="AH114" i="4"/>
  <c r="AH113" i="4"/>
  <c r="AH112" i="4"/>
  <c r="AH111" i="4"/>
  <c r="AH110" i="4"/>
  <c r="AH109" i="4"/>
  <c r="AH108" i="4"/>
  <c r="AH107" i="4"/>
  <c r="AH106" i="4"/>
  <c r="AH105" i="4"/>
  <c r="AH104" i="4"/>
  <c r="AH103" i="4"/>
  <c r="AH102" i="4"/>
  <c r="AH101" i="4"/>
  <c r="AH100" i="4"/>
  <c r="AH99" i="4"/>
  <c r="AH98" i="4"/>
  <c r="AH97" i="4"/>
  <c r="AH96" i="4"/>
  <c r="AH95" i="4"/>
  <c r="AH94" i="4"/>
  <c r="AH93" i="4"/>
  <c r="AH92" i="4"/>
  <c r="AH91" i="4"/>
  <c r="AH90" i="4"/>
  <c r="AH89" i="4"/>
  <c r="AH88" i="4"/>
  <c r="AH87" i="4"/>
  <c r="AH86" i="4"/>
  <c r="AH85" i="4"/>
  <c r="AH84" i="4"/>
  <c r="AH83" i="4"/>
  <c r="AH82" i="4"/>
  <c r="AH81" i="4"/>
  <c r="AH80" i="4"/>
  <c r="AH79" i="4"/>
  <c r="AH78" i="4"/>
  <c r="AH77" i="4"/>
  <c r="AH76" i="4"/>
  <c r="AH75" i="4"/>
  <c r="AH74" i="4"/>
  <c r="AH73" i="4"/>
  <c r="AH72" i="4"/>
  <c r="AH71" i="4"/>
  <c r="AH70" i="4"/>
  <c r="AH69" i="4"/>
  <c r="AH68" i="4"/>
  <c r="AH67" i="4"/>
  <c r="AH66" i="4"/>
  <c r="AH65" i="4"/>
  <c r="AH64" i="4"/>
  <c r="AH63" i="4"/>
  <c r="AH62" i="4"/>
  <c r="AH61" i="4"/>
  <c r="AH60" i="4"/>
  <c r="AH59" i="4"/>
  <c r="AH58" i="4"/>
  <c r="AH57" i="4"/>
  <c r="AH56" i="4"/>
  <c r="AH55" i="4"/>
  <c r="AH54" i="4"/>
  <c r="AH53" i="4"/>
  <c r="AH52" i="4"/>
  <c r="AH51" i="4"/>
  <c r="AH50" i="4"/>
  <c r="AH49" i="4"/>
  <c r="AH48" i="4"/>
  <c r="AH47" i="4"/>
  <c r="AH46" i="4"/>
  <c r="AH45" i="4"/>
  <c r="AH44" i="4"/>
  <c r="AH43" i="4"/>
  <c r="AH42" i="4"/>
  <c r="AH41" i="4"/>
  <c r="AH40" i="4"/>
  <c r="AH39" i="4"/>
  <c r="AH38" i="4"/>
  <c r="AH37" i="4"/>
  <c r="AH36" i="4"/>
  <c r="AH35" i="4"/>
  <c r="AH34" i="4"/>
  <c r="AH33" i="4"/>
  <c r="AH32" i="4"/>
  <c r="AH31" i="4"/>
  <c r="AH30" i="4"/>
  <c r="AH29" i="4"/>
  <c r="AH28" i="4"/>
  <c r="AH27" i="4"/>
  <c r="AH26" i="4"/>
  <c r="AH25" i="4"/>
  <c r="AH24" i="4"/>
  <c r="AH23" i="4"/>
  <c r="AH22" i="4"/>
  <c r="AH21" i="4"/>
  <c r="AH20" i="4"/>
  <c r="AH19" i="4"/>
  <c r="AH18" i="4"/>
  <c r="AH17" i="4"/>
  <c r="AH16" i="4"/>
  <c r="AH15" i="4"/>
  <c r="AH14" i="4"/>
  <c r="AH13" i="4"/>
  <c r="AH12" i="4"/>
  <c r="AH11" i="4"/>
  <c r="AH10" i="4"/>
  <c r="AH9" i="4"/>
  <c r="AH8" i="4"/>
  <c r="AH7" i="4"/>
  <c r="AH6" i="4"/>
  <c r="AH5" i="4"/>
  <c r="AH4" i="4"/>
  <c r="M19" i="3" l="1"/>
  <c r="M20" i="3"/>
  <c r="M21" i="3"/>
  <c r="M22" i="3"/>
  <c r="M23" i="3"/>
  <c r="M24" i="3"/>
  <c r="M25" i="3"/>
  <c r="M26" i="3"/>
  <c r="M27" i="3"/>
  <c r="M28" i="3"/>
  <c r="M29" i="3"/>
  <c r="M30" i="3"/>
  <c r="M31" i="3"/>
  <c r="M32" i="3"/>
  <c r="M33" i="3"/>
  <c r="M34" i="3"/>
  <c r="M35" i="3"/>
  <c r="M36" i="3"/>
  <c r="M37" i="3"/>
  <c r="M38" i="3"/>
  <c r="M39" i="3"/>
  <c r="AB14" i="3"/>
  <c r="AB16" i="3"/>
  <c r="AB18" i="3"/>
  <c r="AB19" i="3"/>
  <c r="AB20" i="3"/>
  <c r="AB21" i="3"/>
  <c r="AB22" i="3"/>
  <c r="AB23" i="3"/>
  <c r="AB24" i="3"/>
  <c r="AB25" i="3"/>
  <c r="AB26" i="3"/>
  <c r="AB27" i="3"/>
  <c r="AB28" i="3"/>
  <c r="AB29" i="3"/>
  <c r="AB30" i="3"/>
  <c r="AB31" i="3"/>
  <c r="AB32" i="3"/>
  <c r="AB33" i="3"/>
  <c r="AB34" i="3"/>
  <c r="AB35" i="3"/>
  <c r="AB36" i="3"/>
  <c r="AB37" i="3"/>
  <c r="AB38" i="3"/>
  <c r="AB39" i="3"/>
  <c r="AI14" i="3"/>
  <c r="AI15" i="3"/>
  <c r="AI16" i="3"/>
  <c r="AI17" i="3"/>
  <c r="AI18" i="3"/>
  <c r="AI19" i="3"/>
  <c r="AI20" i="3"/>
  <c r="AI21" i="3"/>
  <c r="AI22" i="3"/>
  <c r="AI23" i="3"/>
  <c r="AI24" i="3"/>
  <c r="AI25" i="3"/>
  <c r="AI26" i="3"/>
  <c r="AI27" i="3"/>
  <c r="AI28" i="3"/>
  <c r="AI29" i="3"/>
  <c r="AI30" i="3"/>
  <c r="AI31" i="3"/>
  <c r="AI32" i="3"/>
  <c r="AI33" i="3"/>
  <c r="AI35" i="3"/>
  <c r="AI36" i="3"/>
  <c r="AI37" i="3"/>
  <c r="AI38" i="3"/>
  <c r="AI39" i="3"/>
  <c r="M4" i="4"/>
  <c r="R4" i="4" s="1" a="1"/>
  <c r="R4" i="4" s="1"/>
  <c r="M5" i="4"/>
  <c r="P5" i="4" s="1" a="1"/>
  <c r="P5" i="4" s="1"/>
  <c r="M6" i="4"/>
  <c r="O6" i="4" s="1" a="1"/>
  <c r="O6" i="4" s="1"/>
  <c r="M7" i="4"/>
  <c r="P7" i="4" s="1" a="1"/>
  <c r="P7" i="4" s="1"/>
  <c r="M8" i="4"/>
  <c r="P8" i="4" s="1" a="1"/>
  <c r="P8" i="4" s="1"/>
  <c r="M9" i="4"/>
  <c r="P9" i="4" s="1" a="1"/>
  <c r="P9" i="4" s="1"/>
  <c r="M10" i="4"/>
  <c r="Q10" i="4" s="1" a="1"/>
  <c r="Q10" i="4" s="1"/>
  <c r="M11" i="4"/>
  <c r="Q11" i="4" s="1" a="1"/>
  <c r="Q11" i="4" s="1"/>
  <c r="M12" i="4"/>
  <c r="R12" i="4" s="1" a="1"/>
  <c r="R12" i="4" s="1"/>
  <c r="M13" i="4"/>
  <c r="Q13" i="4" s="1" a="1"/>
  <c r="Q13" i="4" s="1"/>
  <c r="M14" i="4"/>
  <c r="Q14" i="4" s="1" a="1"/>
  <c r="Q14" i="4" s="1"/>
  <c r="M15" i="4"/>
  <c r="R15" i="4" s="1" a="1"/>
  <c r="R15" i="4" s="1"/>
  <c r="M16" i="4"/>
  <c r="R16" i="4" s="1" a="1"/>
  <c r="R16" i="4" s="1"/>
  <c r="M17" i="4"/>
  <c r="R17" i="4" s="1" a="1"/>
  <c r="R17" i="4" s="1"/>
  <c r="M18" i="4"/>
  <c r="R18" i="4" s="1" a="1"/>
  <c r="R18" i="4" s="1"/>
  <c r="E4" i="4"/>
  <c r="E5" i="4"/>
  <c r="E6" i="4"/>
  <c r="E7" i="4"/>
  <c r="E8" i="4"/>
  <c r="E9" i="4"/>
  <c r="E10" i="4"/>
  <c r="E11" i="4"/>
  <c r="E12" i="4"/>
  <c r="E13" i="4"/>
  <c r="E14" i="4"/>
  <c r="E15" i="4"/>
  <c r="E16" i="4"/>
  <c r="E17" i="4"/>
  <c r="E18" i="4"/>
  <c r="AI34" i="3"/>
  <c r="AH14" i="3"/>
  <c r="AH15" i="3"/>
  <c r="AH16" i="3"/>
  <c r="AH17" i="3"/>
  <c r="AH18" i="3"/>
  <c r="AH19" i="3"/>
  <c r="AH20" i="3"/>
  <c r="AH21" i="3"/>
  <c r="AH22" i="3"/>
  <c r="AH23" i="3"/>
  <c r="AH24" i="3"/>
  <c r="AH25" i="3"/>
  <c r="AH26" i="3"/>
  <c r="AH27" i="3"/>
  <c r="AH28" i="3"/>
  <c r="AH29" i="3"/>
  <c r="AH30" i="3"/>
  <c r="AH31" i="3"/>
  <c r="AH32" i="3"/>
  <c r="AH33" i="3"/>
  <c r="AH34" i="3"/>
  <c r="AH35" i="3"/>
  <c r="AH36" i="3"/>
  <c r="AH37" i="3"/>
  <c r="AH38" i="3"/>
  <c r="AH39" i="3"/>
  <c r="N18" i="4" l="1" a="1"/>
  <c r="N18" i="4" s="1"/>
  <c r="S18" i="4" a="1"/>
  <c r="S18" i="4" s="1"/>
  <c r="O4" i="4" a="1"/>
  <c r="O4" i="4" s="1"/>
  <c r="AB6" i="4" a="1"/>
  <c r="AB6" i="4" s="1"/>
  <c r="AA18" i="4" a="1"/>
  <c r="AA18" i="4" s="1"/>
  <c r="Y18" i="4" a="1"/>
  <c r="Y18" i="4" s="1"/>
  <c r="X15" i="4" a="1"/>
  <c r="X15" i="4" s="1"/>
  <c r="X6" i="4" a="1"/>
  <c r="X6" i="4" s="1"/>
  <c r="T6" i="4" a="1"/>
  <c r="T6" i="4" s="1"/>
  <c r="N15" i="4" a="1"/>
  <c r="N15" i="4" s="1"/>
  <c r="Q18" i="4" a="1"/>
  <c r="Q18" i="4" s="1"/>
  <c r="AB18" i="4" a="1"/>
  <c r="AB18" i="4" s="1"/>
  <c r="X4" i="4" a="1"/>
  <c r="X4" i="4" s="1"/>
  <c r="P18" i="4" a="1"/>
  <c r="P18" i="4" s="1"/>
  <c r="T4" i="4" a="1"/>
  <c r="T4" i="4" s="1"/>
  <c r="AB10" i="4" a="1"/>
  <c r="AB10" i="4" s="1"/>
  <c r="W18" i="4" a="1"/>
  <c r="W18" i="4" s="1"/>
  <c r="P6" i="4" a="1"/>
  <c r="P6" i="4" s="1"/>
  <c r="U18" i="4" a="1"/>
  <c r="U18" i="4" s="1"/>
  <c r="P4" i="4" a="1"/>
  <c r="P4" i="4" s="1"/>
  <c r="AB4" i="4" a="1"/>
  <c r="AB4" i="4" s="1"/>
  <c r="T15" i="4" a="1"/>
  <c r="T15" i="4" s="1"/>
  <c r="O18" i="4" a="1"/>
  <c r="O18" i="4" s="1"/>
  <c r="X12" i="4" a="1"/>
  <c r="X12" i="4" s="1"/>
  <c r="O12" i="4" a="1"/>
  <c r="O12" i="4" s="1"/>
  <c r="AA10" i="4" a="1"/>
  <c r="AA10" i="4" s="1"/>
  <c r="S12" i="4" a="1"/>
  <c r="S12" i="4" s="1"/>
  <c r="AA8" i="4" a="1"/>
  <c r="AA8" i="4" s="1"/>
  <c r="S10" i="4" a="1"/>
  <c r="S10" i="4" s="1"/>
  <c r="AA6" i="4" a="1"/>
  <c r="AA6" i="4" s="1"/>
  <c r="W8" i="4" a="1"/>
  <c r="W8" i="4" s="1"/>
  <c r="S8" i="4" a="1"/>
  <c r="S8" i="4" s="1"/>
  <c r="AA4" i="4" a="1"/>
  <c r="AA4" i="4" s="1"/>
  <c r="S4" i="4" a="1"/>
  <c r="S4" i="4" s="1"/>
  <c r="N12" i="4" a="1"/>
  <c r="N12" i="4" s="1"/>
  <c r="Y15" i="4" a="1"/>
  <c r="Y15" i="4" s="1"/>
  <c r="U15" i="4" a="1"/>
  <c r="U15" i="4" s="1"/>
  <c r="Q15" i="4" a="1"/>
  <c r="Q15" i="4" s="1"/>
  <c r="AA12" i="4" a="1"/>
  <c r="AA12" i="4" s="1"/>
  <c r="W10" i="4" a="1"/>
  <c r="W10" i="4" s="1"/>
  <c r="N11" i="4" a="1"/>
  <c r="N11" i="4" s="1"/>
  <c r="Y12" i="4" a="1"/>
  <c r="Y12" i="4" s="1"/>
  <c r="U12" i="4" a="1"/>
  <c r="U12" i="4" s="1"/>
  <c r="Q12" i="4" a="1"/>
  <c r="Q12" i="4" s="1"/>
  <c r="AB12" i="4" a="1"/>
  <c r="AB12" i="4" s="1"/>
  <c r="T10" i="4" a="1"/>
  <c r="T10" i="4" s="1"/>
  <c r="W4" i="4" a="1"/>
  <c r="W4" i="4" s="1"/>
  <c r="N9" i="4" a="1"/>
  <c r="N9" i="4" s="1"/>
  <c r="Y11" i="4" a="1"/>
  <c r="Y11" i="4" s="1"/>
  <c r="U11" i="4" a="1"/>
  <c r="U11" i="4" s="1"/>
  <c r="Q9" i="4" a="1"/>
  <c r="Q9" i="4" s="1"/>
  <c r="N8" i="4" a="1"/>
  <c r="N8" i="4" s="1"/>
  <c r="Y9" i="4" a="1"/>
  <c r="Y9" i="4" s="1"/>
  <c r="U9" i="4" a="1"/>
  <c r="U9" i="4" s="1"/>
  <c r="Q6" i="4" a="1"/>
  <c r="Q6" i="4" s="1"/>
  <c r="T12" i="4" a="1"/>
  <c r="T12" i="4" s="1"/>
  <c r="W12" i="4" a="1"/>
  <c r="W12" i="4" s="1"/>
  <c r="N6" i="4" a="1"/>
  <c r="N6" i="4" s="1"/>
  <c r="Y8" i="4" a="1"/>
  <c r="Y8" i="4" s="1"/>
  <c r="Q4" i="4" a="1"/>
  <c r="Q4" i="4" s="1"/>
  <c r="Y4" i="4" a="1"/>
  <c r="Y4" i="4" s="1"/>
  <c r="P15" i="4" a="1"/>
  <c r="P15" i="4" s="1"/>
  <c r="X10" i="4" a="1"/>
  <c r="X10" i="4" s="1"/>
  <c r="U8" i="4" a="1"/>
  <c r="U8" i="4" s="1"/>
  <c r="N4" i="4" a="1"/>
  <c r="N4" i="4" s="1"/>
  <c r="Y6" i="4" a="1"/>
  <c r="Y6" i="4" s="1"/>
  <c r="U6" i="4" a="1"/>
  <c r="U6" i="4" s="1"/>
  <c r="U4" i="4" a="1"/>
  <c r="U4" i="4" s="1"/>
  <c r="AB17" i="4" a="1"/>
  <c r="AB17" i="4" s="1"/>
  <c r="X18" i="4" a="1"/>
  <c r="X18" i="4" s="1"/>
  <c r="T18" i="4" a="1"/>
  <c r="T18" i="4" s="1"/>
  <c r="P12" i="4" a="1"/>
  <c r="P12" i="4" s="1"/>
  <c r="AB15" i="4" a="1"/>
  <c r="AB15" i="4" s="1"/>
  <c r="X17" i="4" a="1"/>
  <c r="X17" i="4" s="1"/>
  <c r="T17" i="4" a="1"/>
  <c r="T17" i="4" s="1"/>
  <c r="P10" i="4" a="1"/>
  <c r="P10" i="4" s="1"/>
  <c r="R13" i="4" a="1"/>
  <c r="R13" i="4" s="1"/>
  <c r="Q8" i="4" a="1"/>
  <c r="Q8" i="4" s="1"/>
  <c r="N7" i="4" a="1"/>
  <c r="N7" i="4" s="1"/>
  <c r="AA17" i="4" a="1"/>
  <c r="AA17" i="4" s="1"/>
  <c r="Z12" i="4" a="1"/>
  <c r="Z12" i="4" s="1"/>
  <c r="Y7" i="4" a="1"/>
  <c r="Y7" i="4" s="1"/>
  <c r="W17" i="4" a="1"/>
  <c r="W17" i="4" s="1"/>
  <c r="V12" i="4" a="1"/>
  <c r="V12" i="4" s="1"/>
  <c r="U7" i="4" a="1"/>
  <c r="U7" i="4" s="1"/>
  <c r="S17" i="4" a="1"/>
  <c r="S17" i="4" s="1"/>
  <c r="Q7" i="4" a="1"/>
  <c r="Q7" i="4" s="1"/>
  <c r="O17" i="4" a="1"/>
  <c r="O17" i="4" s="1"/>
  <c r="R14" i="4" a="1"/>
  <c r="R14" i="4" s="1"/>
  <c r="Z13" i="4" a="1"/>
  <c r="Z13" i="4" s="1"/>
  <c r="AA16" i="4" a="1"/>
  <c r="AA16" i="4" s="1"/>
  <c r="Z11" i="4" a="1"/>
  <c r="Z11" i="4" s="1"/>
  <c r="W16" i="4" a="1"/>
  <c r="W16" i="4" s="1"/>
  <c r="V11" i="4" a="1"/>
  <c r="V11" i="4" s="1"/>
  <c r="S16" i="4" a="1"/>
  <c r="S16" i="4" s="1"/>
  <c r="R11" i="4" a="1"/>
  <c r="R11" i="4" s="1"/>
  <c r="O16" i="4" a="1"/>
  <c r="O16" i="4" s="1"/>
  <c r="N5" i="4" a="1"/>
  <c r="N5" i="4" s="1"/>
  <c r="AA15" i="4" a="1"/>
  <c r="AA15" i="4" s="1"/>
  <c r="Z10" i="4" a="1"/>
  <c r="Z10" i="4" s="1"/>
  <c r="Y5" i="4" a="1"/>
  <c r="Y5" i="4" s="1"/>
  <c r="W15" i="4" a="1"/>
  <c r="W15" i="4" s="1"/>
  <c r="V10" i="4" a="1"/>
  <c r="V10" i="4" s="1"/>
  <c r="U5" i="4" a="1"/>
  <c r="U5" i="4" s="1"/>
  <c r="S15" i="4" a="1"/>
  <c r="S15" i="4" s="1"/>
  <c r="R10" i="4" a="1"/>
  <c r="R10" i="4" s="1"/>
  <c r="Q5" i="4" a="1"/>
  <c r="Q5" i="4" s="1"/>
  <c r="O15" i="4" a="1"/>
  <c r="O15" i="4" s="1"/>
  <c r="O14" i="4" a="1"/>
  <c r="O14" i="4" s="1"/>
  <c r="Z16" i="4" a="1"/>
  <c r="Z16" i="4" s="1"/>
  <c r="Z14" i="4" a="1"/>
  <c r="Z14" i="4" s="1"/>
  <c r="V14" i="4" a="1"/>
  <c r="V14" i="4" s="1"/>
  <c r="V13" i="4" a="1"/>
  <c r="V13" i="4" s="1"/>
  <c r="AA14" i="4" a="1"/>
  <c r="AA14" i="4" s="1"/>
  <c r="Z9" i="4" a="1"/>
  <c r="Z9" i="4" s="1"/>
  <c r="W14" i="4" a="1"/>
  <c r="W14" i="4" s="1"/>
  <c r="V9" i="4" a="1"/>
  <c r="V9" i="4" s="1"/>
  <c r="S14" i="4" a="1"/>
  <c r="S14" i="4" s="1"/>
  <c r="R9" i="4" a="1"/>
  <c r="R9" i="4" s="1"/>
  <c r="AA13" i="4" a="1"/>
  <c r="AA13" i="4" s="1"/>
  <c r="Z8" i="4" a="1"/>
  <c r="Z8" i="4" s="1"/>
  <c r="W13" i="4" a="1"/>
  <c r="W13" i="4" s="1"/>
  <c r="V8" i="4" a="1"/>
  <c r="V8" i="4" s="1"/>
  <c r="S13" i="4" a="1"/>
  <c r="S13" i="4" s="1"/>
  <c r="R8" i="4" a="1"/>
  <c r="R8" i="4" s="1"/>
  <c r="O13" i="4" a="1"/>
  <c r="O13" i="4" s="1"/>
  <c r="R7" i="4" a="1"/>
  <c r="R7" i="4" s="1"/>
  <c r="P17" i="4" a="1"/>
  <c r="P17" i="4" s="1"/>
  <c r="AB16" i="4" a="1"/>
  <c r="AB16" i="4" s="1"/>
  <c r="AA11" i="4" a="1"/>
  <c r="AA11" i="4" s="1"/>
  <c r="Z6" i="4" a="1"/>
  <c r="Z6" i="4" s="1"/>
  <c r="X16" i="4" a="1"/>
  <c r="X16" i="4" s="1"/>
  <c r="W11" i="4" a="1"/>
  <c r="W11" i="4" s="1"/>
  <c r="V6" i="4" a="1"/>
  <c r="V6" i="4" s="1"/>
  <c r="T16" i="4" a="1"/>
  <c r="T16" i="4" s="1"/>
  <c r="S11" i="4" a="1"/>
  <c r="S11" i="4" s="1"/>
  <c r="R6" i="4" a="1"/>
  <c r="R6" i="4" s="1"/>
  <c r="P16" i="4" a="1"/>
  <c r="P16" i="4" s="1"/>
  <c r="O11" i="4" a="1"/>
  <c r="O11" i="4" s="1"/>
  <c r="R5" i="4" a="1"/>
  <c r="R5" i="4" s="1"/>
  <c r="O10" i="4" a="1"/>
  <c r="O10" i="4" s="1"/>
  <c r="AB14" i="4" a="1"/>
  <c r="AB14" i="4" s="1"/>
  <c r="AA9" i="4" a="1"/>
  <c r="AA9" i="4" s="1"/>
  <c r="Z4" i="4" a="1"/>
  <c r="Z4" i="4" s="1"/>
  <c r="X14" i="4" a="1"/>
  <c r="X14" i="4" s="1"/>
  <c r="W9" i="4" a="1"/>
  <c r="W9" i="4" s="1"/>
  <c r="V4" i="4" a="1"/>
  <c r="V4" i="4" s="1"/>
  <c r="T14" i="4" a="1"/>
  <c r="T14" i="4" s="1"/>
  <c r="S9" i="4" a="1"/>
  <c r="S9" i="4" s="1"/>
  <c r="P14" i="4" a="1"/>
  <c r="P14" i="4" s="1"/>
  <c r="O9" i="4" a="1"/>
  <c r="O9" i="4" s="1"/>
  <c r="P13" i="4" a="1"/>
  <c r="P13" i="4" s="1"/>
  <c r="O8" i="4" a="1"/>
  <c r="O8" i="4" s="1"/>
  <c r="Z5" i="4" a="1"/>
  <c r="Z5" i="4" s="1"/>
  <c r="X13" i="4" a="1"/>
  <c r="X13" i="4" s="1"/>
  <c r="T13" i="4" a="1"/>
  <c r="T13" i="4" s="1"/>
  <c r="N17" i="4" a="1"/>
  <c r="N17" i="4" s="1"/>
  <c r="AA7" i="4" a="1"/>
  <c r="AA7" i="4" s="1"/>
  <c r="Y17" i="4" a="1"/>
  <c r="Y17" i="4" s="1"/>
  <c r="W7" i="4" a="1"/>
  <c r="W7" i="4" s="1"/>
  <c r="U17" i="4" a="1"/>
  <c r="U17" i="4" s="1"/>
  <c r="S7" i="4" a="1"/>
  <c r="S7" i="4" s="1"/>
  <c r="Q17" i="4" a="1"/>
  <c r="Q17" i="4" s="1"/>
  <c r="O7" i="4" a="1"/>
  <c r="O7" i="4" s="1"/>
  <c r="V5" i="4" a="1"/>
  <c r="V5" i="4" s="1"/>
  <c r="AB13" i="4" a="1"/>
  <c r="AB13" i="4" s="1"/>
  <c r="N16" i="4" a="1"/>
  <c r="N16" i="4" s="1"/>
  <c r="AB11" i="4" a="1"/>
  <c r="AB11" i="4" s="1"/>
  <c r="Y16" i="4" a="1"/>
  <c r="Y16" i="4" s="1"/>
  <c r="X11" i="4" a="1"/>
  <c r="X11" i="4" s="1"/>
  <c r="W6" i="4" a="1"/>
  <c r="W6" i="4" s="1"/>
  <c r="U16" i="4" a="1"/>
  <c r="U16" i="4" s="1"/>
  <c r="T11" i="4" a="1"/>
  <c r="T11" i="4" s="1"/>
  <c r="S6" i="4" a="1"/>
  <c r="S6" i="4" s="1"/>
  <c r="Q16" i="4" a="1"/>
  <c r="Q16" i="4" s="1"/>
  <c r="P11" i="4" a="1"/>
  <c r="P11" i="4" s="1"/>
  <c r="V16" i="4" a="1"/>
  <c r="V16" i="4" s="1"/>
  <c r="Z7" i="4" a="1"/>
  <c r="Z7" i="4" s="1"/>
  <c r="V7" i="4" a="1"/>
  <c r="V7" i="4" s="1"/>
  <c r="S5" i="4" a="1"/>
  <c r="S5" i="4" s="1"/>
  <c r="O5" i="4" a="1"/>
  <c r="O5" i="4" s="1"/>
  <c r="AA5" i="4" a="1"/>
  <c r="AA5" i="4" s="1"/>
  <c r="W5" i="4" a="1"/>
  <c r="W5" i="4" s="1"/>
  <c r="N14" i="4" a="1"/>
  <c r="N14" i="4" s="1"/>
  <c r="AB9" i="4" a="1"/>
  <c r="AB9" i="4" s="1"/>
  <c r="Y14" i="4" a="1"/>
  <c r="Y14" i="4" s="1"/>
  <c r="X9" i="4" a="1"/>
  <c r="X9" i="4" s="1"/>
  <c r="U14" i="4" a="1"/>
  <c r="U14" i="4" s="1"/>
  <c r="T9" i="4" a="1"/>
  <c r="T9" i="4" s="1"/>
  <c r="N13" i="4" a="1"/>
  <c r="N13" i="4" s="1"/>
  <c r="AB8" i="4" a="1"/>
  <c r="AB8" i="4" s="1"/>
  <c r="Z18" i="4" a="1"/>
  <c r="Z18" i="4" s="1"/>
  <c r="Y13" i="4" a="1"/>
  <c r="Y13" i="4" s="1"/>
  <c r="X8" i="4" a="1"/>
  <c r="X8" i="4" s="1"/>
  <c r="V18" i="4" a="1"/>
  <c r="V18" i="4" s="1"/>
  <c r="U13" i="4" a="1"/>
  <c r="U13" i="4" s="1"/>
  <c r="T8" i="4" a="1"/>
  <c r="T8" i="4" s="1"/>
  <c r="AB7" i="4" a="1"/>
  <c r="AB7" i="4" s="1"/>
  <c r="Z17" i="4" a="1"/>
  <c r="Z17" i="4" s="1"/>
  <c r="X7" i="4" a="1"/>
  <c r="X7" i="4" s="1"/>
  <c r="V17" i="4" a="1"/>
  <c r="V17" i="4" s="1"/>
  <c r="T7" i="4" a="1"/>
  <c r="T7" i="4" s="1"/>
  <c r="N10" i="4" a="1"/>
  <c r="N10" i="4" s="1"/>
  <c r="AB5" i="4" a="1"/>
  <c r="AB5" i="4" s="1"/>
  <c r="Z15" i="4" a="1"/>
  <c r="Z15" i="4" s="1"/>
  <c r="Y10" i="4" a="1"/>
  <c r="Y10" i="4" s="1"/>
  <c r="X5" i="4" a="1"/>
  <c r="X5" i="4" s="1"/>
  <c r="V15" i="4" a="1"/>
  <c r="V15" i="4" s="1"/>
  <c r="U10" i="4" a="1"/>
  <c r="U10" i="4" s="1"/>
  <c r="T5" i="4" a="1"/>
  <c r="T5" i="4" s="1"/>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D40" i="9"/>
  <c r="AF26" i="9"/>
  <c r="AF27" i="9"/>
  <c r="AF28" i="9"/>
  <c r="AF29" i="9"/>
  <c r="AF30" i="9"/>
  <c r="AF31" i="9"/>
  <c r="AF32" i="9"/>
  <c r="AF33" i="9"/>
  <c r="AF34" i="9"/>
  <c r="AF35" i="9"/>
  <c r="AF36" i="9"/>
  <c r="AF37" i="9"/>
  <c r="AF38" i="9"/>
  <c r="AF39" i="9"/>
  <c r="K19" i="4"/>
  <c r="F4" i="4"/>
  <c r="F5" i="4"/>
  <c r="F6" i="4"/>
  <c r="F7" i="4"/>
  <c r="G7" i="4" s="1"/>
  <c r="F8" i="4"/>
  <c r="G8" i="4" s="1"/>
  <c r="F9" i="4"/>
  <c r="F10" i="4"/>
  <c r="F11" i="4"/>
  <c r="G11" i="4" s="1"/>
  <c r="F12" i="4"/>
  <c r="F13" i="4"/>
  <c r="G13" i="4" s="1"/>
  <c r="F14" i="4"/>
  <c r="F15" i="4"/>
  <c r="F16" i="4"/>
  <c r="F17" i="4"/>
  <c r="F18" i="4"/>
  <c r="AC27" i="3"/>
  <c r="AC28" i="3"/>
  <c r="AC29" i="3"/>
  <c r="AC30" i="3"/>
  <c r="AC31" i="3"/>
  <c r="AC32" i="3"/>
  <c r="AC33" i="3"/>
  <c r="AC34" i="3"/>
  <c r="AC35" i="3"/>
  <c r="AC36" i="3"/>
  <c r="F22" i="2"/>
  <c r="F23" i="2"/>
  <c r="F24" i="2"/>
  <c r="F25" i="2"/>
  <c r="F26" i="2"/>
  <c r="L22" i="2"/>
  <c r="L23" i="2"/>
  <c r="L24" i="2"/>
  <c r="L25" i="2"/>
  <c r="L26" i="2"/>
  <c r="L13" i="2"/>
  <c r="AB15" i="3" s="1"/>
  <c r="L14" i="2"/>
  <c r="AB17" i="3" s="1"/>
  <c r="L15" i="2"/>
  <c r="L16" i="2"/>
  <c r="L17" i="2"/>
  <c r="L18" i="2"/>
  <c r="L19" i="2"/>
  <c r="L20" i="2"/>
  <c r="L21" i="2"/>
  <c r="L27" i="2"/>
  <c r="AD28" i="3" l="1"/>
  <c r="AD35" i="3"/>
  <c r="AD34" i="3"/>
  <c r="AD33" i="3"/>
  <c r="AD36" i="3"/>
  <c r="AD32" i="3"/>
  <c r="AD31" i="3"/>
  <c r="AD27" i="3"/>
  <c r="AD30" i="3"/>
  <c r="AD29" i="3"/>
  <c r="G18" i="4"/>
  <c r="H18" i="4"/>
  <c r="H16" i="4"/>
  <c r="G16" i="4"/>
  <c r="G10" i="4"/>
  <c r="H10" i="4"/>
  <c r="G9" i="4"/>
  <c r="H9" i="4"/>
  <c r="H17" i="4"/>
  <c r="G17" i="4"/>
  <c r="H15" i="4"/>
  <c r="G15" i="4"/>
  <c r="G14" i="4"/>
  <c r="H14" i="4"/>
  <c r="H6" i="4"/>
  <c r="H7" i="4"/>
  <c r="H8" i="4"/>
  <c r="G6" i="4"/>
  <c r="G12" i="4"/>
  <c r="H12" i="4"/>
  <c r="H5" i="4"/>
  <c r="H13" i="4"/>
  <c r="H11" i="4"/>
  <c r="G5" i="4"/>
  <c r="H4" i="4"/>
  <c r="G4" i="4"/>
  <c r="C25" i="2"/>
  <c r="B23" i="2"/>
  <c r="F19" i="4"/>
  <c r="C26" i="2"/>
  <c r="C24" i="2"/>
  <c r="B22" i="2"/>
  <c r="D24" i="2"/>
  <c r="C23" i="2"/>
  <c r="C22" i="2"/>
  <c r="B26" i="2"/>
  <c r="B25" i="2"/>
  <c r="B24" i="2"/>
  <c r="E26" i="2"/>
  <c r="E25" i="2"/>
  <c r="E24" i="2"/>
  <c r="E23" i="2"/>
  <c r="E22" i="2"/>
  <c r="D26" i="2"/>
  <c r="D25" i="2"/>
  <c r="D23" i="2"/>
  <c r="D22" i="2"/>
  <c r="M67" i="9"/>
  <c r="M66" i="9"/>
  <c r="M65" i="9"/>
  <c r="M64" i="9"/>
  <c r="M63" i="9"/>
  <c r="M62" i="9"/>
  <c r="M61" i="9"/>
  <c r="M60" i="9"/>
  <c r="M59" i="9"/>
  <c r="M58" i="9"/>
  <c r="M57" i="9"/>
  <c r="M56" i="9"/>
  <c r="M55" i="9"/>
  <c r="M54" i="9"/>
  <c r="M53" i="9"/>
  <c r="M52" i="9"/>
  <c r="M51" i="9"/>
  <c r="M50" i="9"/>
  <c r="M49" i="9"/>
  <c r="M48" i="9"/>
  <c r="M47" i="9"/>
  <c r="M46" i="9"/>
  <c r="M45" i="9"/>
  <c r="AF25" i="9"/>
  <c r="AF24" i="9"/>
  <c r="AF23" i="9"/>
  <c r="AF22" i="9"/>
  <c r="AF21" i="9"/>
  <c r="AF20" i="9"/>
  <c r="AF19" i="9"/>
  <c r="AF18" i="9"/>
  <c r="AF17" i="9"/>
  <c r="AF16" i="9"/>
  <c r="A17" i="4" l="1"/>
  <c r="A15" i="4"/>
  <c r="A12" i="4"/>
  <c r="J12" i="4" l="1" a="1"/>
  <c r="J12" i="4" s="1"/>
  <c r="I12" i="4" a="1"/>
  <c r="I12" i="4" s="1"/>
  <c r="I15" i="4" a="1"/>
  <c r="I15" i="4" s="1"/>
  <c r="J15" i="4" a="1"/>
  <c r="J15" i="4" s="1"/>
  <c r="J17" i="4" a="1"/>
  <c r="J17" i="4" s="1"/>
  <c r="I17" i="4" a="1"/>
  <c r="I17" i="4" s="1"/>
  <c r="AC14" i="3"/>
  <c r="AC15" i="3"/>
  <c r="AC16" i="3"/>
  <c r="AC17" i="3"/>
  <c r="AC18" i="3"/>
  <c r="AC19" i="3"/>
  <c r="AC20" i="3"/>
  <c r="AC21" i="3"/>
  <c r="AC22" i="3"/>
  <c r="AC23" i="3"/>
  <c r="AC24" i="3"/>
  <c r="AC25" i="3"/>
  <c r="AC26" i="3"/>
  <c r="AC37" i="3"/>
  <c r="AC38" i="3"/>
  <c r="AC39" i="3"/>
  <c r="A4" i="4"/>
  <c r="A5" i="4"/>
  <c r="A6" i="4"/>
  <c r="A7" i="4"/>
  <c r="A8" i="4"/>
  <c r="A9" i="4"/>
  <c r="A10" i="4"/>
  <c r="A11" i="4"/>
  <c r="A13" i="4"/>
  <c r="A14" i="4"/>
  <c r="A16" i="4"/>
  <c r="A18" i="4"/>
  <c r="AE23" i="3" l="1"/>
  <c r="AE37" i="3"/>
  <c r="AE26" i="3"/>
  <c r="AE25" i="3"/>
  <c r="AE24" i="3"/>
  <c r="AE22" i="3"/>
  <c r="AE15" i="3"/>
  <c r="M15" i="3" s="1"/>
  <c r="AE19" i="3"/>
  <c r="AE14" i="3"/>
  <c r="M14" i="3" s="1"/>
  <c r="AE31" i="3"/>
  <c r="AE29" i="3"/>
  <c r="AE28" i="3"/>
  <c r="AE32" i="3"/>
  <c r="AE27" i="3"/>
  <c r="AE35" i="3"/>
  <c r="AE34" i="3"/>
  <c r="AE33" i="3"/>
  <c r="AE36" i="3"/>
  <c r="AE30" i="3"/>
  <c r="AE17" i="3"/>
  <c r="M17" i="3" s="1"/>
  <c r="AE18" i="3"/>
  <c r="M18" i="3" s="1"/>
  <c r="AE16" i="3"/>
  <c r="M16" i="3" s="1"/>
  <c r="AE20" i="3"/>
  <c r="AE39" i="3"/>
  <c r="AE21" i="3"/>
  <c r="AE38" i="3"/>
  <c r="AD19" i="3"/>
  <c r="AF19" i="3"/>
  <c r="AD18" i="3"/>
  <c r="AF18" i="3"/>
  <c r="AD22" i="3"/>
  <c r="AF22" i="3"/>
  <c r="AD25" i="3"/>
  <c r="AF25" i="3"/>
  <c r="AD15" i="3"/>
  <c r="AF28" i="3"/>
  <c r="AF34" i="3"/>
  <c r="AF29" i="3"/>
  <c r="AF36" i="3"/>
  <c r="AF30" i="3"/>
  <c r="AF31" i="3"/>
  <c r="AF32" i="3"/>
  <c r="AF33" i="3"/>
  <c r="AF15" i="3"/>
  <c r="AF35" i="3"/>
  <c r="AF27" i="3"/>
  <c r="AD23" i="3"/>
  <c r="AF23" i="3"/>
  <c r="AD16" i="3"/>
  <c r="AF16" i="3"/>
  <c r="AD26" i="3"/>
  <c r="AF26" i="3"/>
  <c r="AD17" i="3"/>
  <c r="AF17" i="3"/>
  <c r="AD37" i="3"/>
  <c r="AF37" i="3"/>
  <c r="AD24" i="3"/>
  <c r="AF24" i="3"/>
  <c r="AD21" i="3"/>
  <c r="AF21" i="3"/>
  <c r="AD20" i="3"/>
  <c r="AF20" i="3"/>
  <c r="AD14" i="3"/>
  <c r="AF14" i="3"/>
  <c r="AD39" i="3"/>
  <c r="AF39" i="3"/>
  <c r="AD38" i="3"/>
  <c r="AF38" i="3"/>
  <c r="I14" i="4" a="1"/>
  <c r="I14" i="4" s="1"/>
  <c r="J14" i="4" a="1"/>
  <c r="J14" i="4" s="1"/>
  <c r="I13" i="4" a="1"/>
  <c r="I13" i="4" s="1"/>
  <c r="J13" i="4" a="1"/>
  <c r="J13" i="4" s="1"/>
  <c r="I11" i="4" a="1"/>
  <c r="I11" i="4" s="1"/>
  <c r="J11" i="4" a="1"/>
  <c r="J11" i="4" s="1"/>
  <c r="J10" i="4" a="1"/>
  <c r="J10" i="4" s="1"/>
  <c r="I10" i="4" a="1"/>
  <c r="I10" i="4" s="1"/>
  <c r="J9" i="4" a="1"/>
  <c r="J9" i="4" s="1"/>
  <c r="I9" i="4" a="1"/>
  <c r="I9" i="4" s="1"/>
  <c r="J18" i="4" a="1"/>
  <c r="J18" i="4" s="1"/>
  <c r="I18" i="4" a="1"/>
  <c r="I18" i="4" s="1"/>
  <c r="J8" i="4" a="1"/>
  <c r="J8" i="4" s="1"/>
  <c r="I8" i="4" a="1"/>
  <c r="I8" i="4" s="1"/>
  <c r="J7" i="4" a="1"/>
  <c r="J7" i="4" s="1"/>
  <c r="I7" i="4" a="1"/>
  <c r="I7" i="4" s="1"/>
  <c r="J6" i="4" a="1"/>
  <c r="J6" i="4" s="1"/>
  <c r="I6" i="4" a="1"/>
  <c r="I6" i="4" s="1"/>
  <c r="J5" i="4" a="1"/>
  <c r="J5" i="4" s="1"/>
  <c r="I5" i="4" a="1"/>
  <c r="I5" i="4" s="1"/>
  <c r="J4" i="4" a="1"/>
  <c r="J4" i="4" s="1"/>
  <c r="I4" i="4" a="1"/>
  <c r="I4" i="4" s="1"/>
  <c r="J16" i="4" a="1"/>
  <c r="J16" i="4" s="1"/>
  <c r="I16" i="4" a="1"/>
  <c r="I16" i="4" s="1"/>
  <c r="D14" i="3"/>
  <c r="D15" i="3"/>
  <c r="D21" i="3"/>
  <c r="D16" i="3"/>
  <c r="D17" i="3"/>
  <c r="D18" i="3"/>
  <c r="D22" i="3"/>
  <c r="D20" i="3"/>
  <c r="D19" i="3"/>
  <c r="D23" i="3"/>
  <c r="D24" i="3"/>
  <c r="L41" i="3" l="1"/>
  <c r="L40" i="3"/>
  <c r="F19" i="2" l="1"/>
  <c r="F20" i="2"/>
  <c r="F21" i="2"/>
  <c r="C21" i="2" l="1"/>
  <c r="D21" i="2"/>
  <c r="C20" i="2"/>
  <c r="D20" i="2"/>
  <c r="C19" i="2"/>
  <c r="D19" i="2"/>
  <c r="E21" i="2"/>
  <c r="E20" i="2"/>
  <c r="E19" i="2"/>
  <c r="B19" i="2"/>
  <c r="B20" i="2"/>
  <c r="B21" i="2"/>
  <c r="D25" i="3"/>
  <c r="O40" i="3"/>
  <c r="P40" i="3"/>
  <c r="Q40" i="3"/>
  <c r="R40" i="3"/>
  <c r="S40" i="3"/>
  <c r="T40" i="3"/>
  <c r="U40" i="3"/>
  <c r="V40" i="3"/>
  <c r="W40" i="3"/>
  <c r="X40" i="3"/>
  <c r="Y40" i="3"/>
  <c r="Z40" i="3"/>
  <c r="J28" i="2" l="1"/>
  <c r="E16" i="2" l="1"/>
  <c r="E18" i="2"/>
  <c r="E14" i="2"/>
  <c r="E17" i="2"/>
  <c r="E15" i="2"/>
  <c r="E13" i="2"/>
  <c r="E27" i="2"/>
  <c r="AG20" i="3" l="1"/>
  <c r="AG25" i="3"/>
  <c r="AG34" i="3"/>
  <c r="AG19" i="3"/>
  <c r="AG24" i="3"/>
  <c r="AG23" i="3"/>
  <c r="AG21" i="3"/>
  <c r="AG30" i="3"/>
  <c r="AG14" i="3"/>
  <c r="AG18" i="3"/>
  <c r="AG38" i="3"/>
  <c r="AG15" i="3"/>
  <c r="AG32" i="3"/>
  <c r="AG17" i="3"/>
  <c r="AG22" i="3"/>
  <c r="AG28" i="3"/>
  <c r="AG35" i="3"/>
  <c r="AG26" i="3"/>
  <c r="AG16" i="3"/>
  <c r="AG31" i="3"/>
  <c r="AG36" i="3"/>
  <c r="AG29" i="3"/>
  <c r="AG27" i="3"/>
  <c r="AG33" i="3"/>
  <c r="AG39" i="3"/>
  <c r="AG37" i="3"/>
  <c r="C17" i="3"/>
  <c r="E17" i="3" s="1"/>
  <c r="C22" i="3"/>
  <c r="E22" i="3" s="1"/>
  <c r="C20" i="3"/>
  <c r="E20" i="3" s="1"/>
  <c r="C14" i="3"/>
  <c r="E14" i="3" s="1"/>
  <c r="C21" i="3"/>
  <c r="E21" i="3" s="1"/>
  <c r="C23" i="3"/>
  <c r="E23" i="3" s="1"/>
  <c r="C19" i="3"/>
  <c r="E19" i="3" s="1"/>
  <c r="C24" i="3"/>
  <c r="E24" i="3" s="1"/>
  <c r="C15" i="3"/>
  <c r="E15" i="3" s="1"/>
  <c r="C18" i="3"/>
  <c r="E18" i="3" s="1"/>
  <c r="C16" i="3"/>
  <c r="E16" i="3" s="1"/>
  <c r="E25" i="3" l="1"/>
  <c r="C25" i="3"/>
  <c r="F17" i="2" l="1"/>
  <c r="F18" i="2"/>
  <c r="F27" i="2"/>
  <c r="F13" i="2"/>
  <c r="F14" i="2"/>
  <c r="F15" i="2"/>
  <c r="F16" i="2"/>
  <c r="L28" i="2"/>
  <c r="L30" i="2" s="1"/>
  <c r="K32" i="2" s="1" a="1"/>
  <c r="K32" i="2" s="1"/>
  <c r="B18" i="2" l="1"/>
  <c r="C18" i="2"/>
  <c r="D18" i="2"/>
  <c r="C17" i="2"/>
  <c r="D17" i="2"/>
  <c r="C16" i="2"/>
  <c r="D16" i="2"/>
  <c r="C15" i="2"/>
  <c r="D15" i="2"/>
  <c r="C14" i="2"/>
  <c r="D14" i="2"/>
  <c r="B27" i="2"/>
  <c r="D27" i="2"/>
  <c r="C27" i="2"/>
  <c r="C13" i="2"/>
  <c r="D13" i="2"/>
  <c r="B16" i="2"/>
  <c r="B15" i="2"/>
  <c r="B17" i="2"/>
  <c r="B14" i="2"/>
  <c r="F28" i="2"/>
  <c r="B13" i="2"/>
  <c r="B28" i="2" l="1"/>
  <c r="L50" i="9" l="1"/>
  <c r="L48" i="9"/>
  <c r="L55" i="9"/>
  <c r="L58" i="9"/>
  <c r="L56" i="9"/>
  <c r="L63" i="9"/>
  <c r="L66" i="9"/>
  <c r="L64" i="9"/>
  <c r="L59" i="9"/>
  <c r="L45" i="9"/>
  <c r="L53" i="9"/>
  <c r="L46" i="9"/>
  <c r="L67" i="9"/>
  <c r="L60" i="9"/>
  <c r="L52" i="9"/>
  <c r="L62" i="9"/>
  <c r="L65" i="9"/>
  <c r="L47" i="9"/>
  <c r="L49" i="9"/>
  <c r="L61" i="9"/>
  <c r="L57" i="9"/>
  <c r="L51" i="9"/>
  <c r="L54" i="9"/>
  <c r="N62" i="9" l="1"/>
  <c r="V62" i="9"/>
  <c r="O62" i="9"/>
  <c r="T62" i="9"/>
  <c r="Q62" i="9"/>
  <c r="S62" i="9"/>
  <c r="U62" i="9"/>
  <c r="T54" i="9"/>
  <c r="S54" i="9"/>
  <c r="S60" i="9"/>
  <c r="T60" i="9"/>
  <c r="U60" i="9"/>
  <c r="N60" i="9"/>
  <c r="Q60" i="9"/>
  <c r="O60" i="9"/>
  <c r="V60" i="9"/>
  <c r="S56" i="9"/>
  <c r="T56" i="9"/>
  <c r="T66" i="9"/>
  <c r="S66" i="9"/>
  <c r="O66" i="9"/>
  <c r="Q66" i="9"/>
  <c r="U66" i="9"/>
  <c r="V66" i="9"/>
  <c r="N66" i="9"/>
  <c r="S51" i="9"/>
  <c r="T51" i="9"/>
  <c r="T58" i="9"/>
  <c r="S58" i="9"/>
  <c r="S52" i="9"/>
  <c r="T52" i="9"/>
  <c r="S55" i="9"/>
  <c r="T55" i="9"/>
  <c r="S53" i="9"/>
  <c r="T53" i="9"/>
  <c r="S49" i="9"/>
  <c r="T49" i="9"/>
  <c r="T57" i="9"/>
  <c r="S57" i="9"/>
  <c r="T47" i="9"/>
  <c r="S47" i="9"/>
  <c r="T45" i="9"/>
  <c r="S45" i="9"/>
  <c r="T48" i="9"/>
  <c r="S48" i="9"/>
  <c r="O63" i="9"/>
  <c r="V63" i="9"/>
  <c r="T63" i="9"/>
  <c r="S63" i="9"/>
  <c r="Q63" i="9"/>
  <c r="N63" i="9"/>
  <c r="U63" i="9"/>
  <c r="V65" i="9"/>
  <c r="N65" i="9"/>
  <c r="T65" i="9"/>
  <c r="O65" i="9"/>
  <c r="U65" i="9"/>
  <c r="Q65" i="9"/>
  <c r="S65" i="9"/>
  <c r="V67" i="9"/>
  <c r="N67" i="9"/>
  <c r="S67" i="9"/>
  <c r="U67" i="9"/>
  <c r="T67" i="9"/>
  <c r="Q67" i="9"/>
  <c r="O67" i="9"/>
  <c r="S59" i="9"/>
  <c r="T59" i="9"/>
  <c r="T50" i="9"/>
  <c r="S50" i="9"/>
  <c r="U61" i="9"/>
  <c r="T61" i="9"/>
  <c r="V61" i="9"/>
  <c r="O61" i="9"/>
  <c r="N61" i="9"/>
  <c r="S61" i="9"/>
  <c r="Q61" i="9"/>
  <c r="T46" i="9"/>
  <c r="S46" i="9"/>
  <c r="O64" i="9"/>
  <c r="N64" i="9"/>
  <c r="Q64" i="9"/>
  <c r="U64" i="9"/>
  <c r="V64" i="9"/>
  <c r="S64" i="9"/>
  <c r="T64" i="9"/>
  <c r="AE33" i="9" l="1"/>
  <c r="AE26" i="9"/>
  <c r="AE38" i="9"/>
  <c r="AE39" i="9"/>
  <c r="AE34" i="9"/>
  <c r="AE36" i="9"/>
  <c r="AE37" i="9"/>
  <c r="AE32" i="9"/>
  <c r="AE27" i="9"/>
  <c r="AE35" i="9"/>
  <c r="AE28" i="9"/>
  <c r="AE31" i="9"/>
  <c r="AE30" i="9"/>
  <c r="AE29" i="9"/>
  <c r="U58" i="9"/>
  <c r="V58" i="9" s="1"/>
  <c r="O58" i="9" s="1"/>
  <c r="U59" i="9"/>
  <c r="V59" i="9" s="1"/>
  <c r="U57" i="9"/>
  <c r="V57" i="9" s="1"/>
  <c r="N57" i="9" s="1"/>
  <c r="U56" i="9"/>
  <c r="V56" i="9" s="1"/>
  <c r="N56" i="9" s="1"/>
  <c r="U55" i="9"/>
  <c r="V55" i="9" s="1"/>
  <c r="U54" i="9"/>
  <c r="V54" i="9" s="1"/>
  <c r="O54" i="9" s="1"/>
  <c r="U52" i="9"/>
  <c r="V52" i="9" s="1"/>
  <c r="N52" i="9" s="1"/>
  <c r="U53" i="9"/>
  <c r="V53" i="9" s="1"/>
  <c r="U50" i="9"/>
  <c r="V50" i="9" s="1"/>
  <c r="N50" i="9" s="1"/>
  <c r="U51" i="9"/>
  <c r="V51" i="9" s="1"/>
  <c r="O51" i="9" s="1"/>
  <c r="U49" i="9"/>
  <c r="V49" i="9" s="1"/>
  <c r="N49" i="9" s="1"/>
  <c r="U48" i="9"/>
  <c r="V48" i="9" s="1"/>
  <c r="N48" i="9" s="1"/>
  <c r="U47" i="9"/>
  <c r="V47" i="9" s="1"/>
  <c r="U46" i="9"/>
  <c r="V46" i="9" s="1"/>
  <c r="N46" i="9" s="1"/>
  <c r="P62" i="9"/>
  <c r="R62" i="9" s="1"/>
  <c r="P61" i="9"/>
  <c r="R61" i="9" s="1"/>
  <c r="P67" i="9"/>
  <c r="R67" i="9" s="1"/>
  <c r="U45" i="9"/>
  <c r="V45" i="9" s="1"/>
  <c r="P60" i="9"/>
  <c r="R60" i="9" s="1"/>
  <c r="P66" i="9"/>
  <c r="R66" i="9" s="1"/>
  <c r="P64" i="9"/>
  <c r="R64" i="9" s="1"/>
  <c r="P63" i="9"/>
  <c r="R63" i="9" s="1"/>
  <c r="AE24" i="9"/>
  <c r="AE19" i="9"/>
  <c r="AE25" i="9"/>
  <c r="AE16" i="9"/>
  <c r="AE17" i="9"/>
  <c r="AE18" i="9"/>
  <c r="AE20" i="9"/>
  <c r="AE23" i="9"/>
  <c r="AE22" i="9"/>
  <c r="AE21" i="9"/>
  <c r="P65" i="9"/>
  <c r="R65" i="9" s="1"/>
  <c r="N40" i="3"/>
  <c r="L28" i="9" l="1"/>
  <c r="L35" i="9"/>
  <c r="O35" i="9"/>
  <c r="M35" i="9"/>
  <c r="P35" i="9"/>
  <c r="N35" i="9"/>
  <c r="L27" i="9"/>
  <c r="N32" i="9"/>
  <c r="M32" i="9"/>
  <c r="L32" i="9"/>
  <c r="O32" i="9"/>
  <c r="P32" i="9"/>
  <c r="O37" i="9"/>
  <c r="N37" i="9"/>
  <c r="M37" i="9"/>
  <c r="P37" i="9"/>
  <c r="L37" i="9"/>
  <c r="P36" i="9"/>
  <c r="M36" i="9"/>
  <c r="L36" i="9"/>
  <c r="N36" i="9"/>
  <c r="O36" i="9"/>
  <c r="N34" i="9"/>
  <c r="O34" i="9"/>
  <c r="L34" i="9"/>
  <c r="P34" i="9"/>
  <c r="M34" i="9"/>
  <c r="M29" i="9"/>
  <c r="L39" i="9"/>
  <c r="P39" i="9"/>
  <c r="M39" i="9"/>
  <c r="O39" i="9"/>
  <c r="N39" i="9"/>
  <c r="N31" i="9"/>
  <c r="M31" i="9"/>
  <c r="P31" i="9"/>
  <c r="O31" i="9"/>
  <c r="L31" i="9"/>
  <c r="O38" i="9"/>
  <c r="L38" i="9"/>
  <c r="M38" i="9"/>
  <c r="N38" i="9"/>
  <c r="P38" i="9"/>
  <c r="N33" i="9"/>
  <c r="L33" i="9"/>
  <c r="O33" i="9"/>
  <c r="M33" i="9"/>
  <c r="P33" i="9"/>
  <c r="O57" i="9"/>
  <c r="P57" i="9" s="1"/>
  <c r="N59" i="9"/>
  <c r="L30" i="9" s="1"/>
  <c r="O59" i="9"/>
  <c r="M30" i="9" s="1"/>
  <c r="N58" i="9"/>
  <c r="L29" i="9" s="1"/>
  <c r="O52" i="9"/>
  <c r="P52" i="9" s="1"/>
  <c r="O55" i="9"/>
  <c r="M26" i="9" s="1"/>
  <c r="N55" i="9"/>
  <c r="L26" i="9" s="1"/>
  <c r="O56" i="9"/>
  <c r="Q56" i="9" s="1"/>
  <c r="N54" i="9"/>
  <c r="L25" i="9" s="1"/>
  <c r="O50" i="9"/>
  <c r="P50" i="9" s="1"/>
  <c r="N51" i="9"/>
  <c r="L22" i="9" s="1"/>
  <c r="O53" i="9"/>
  <c r="M24" i="9" s="1"/>
  <c r="N53" i="9"/>
  <c r="L24" i="9" s="1"/>
  <c r="O49" i="9"/>
  <c r="Q49" i="9" s="1"/>
  <c r="O47" i="9"/>
  <c r="M18" i="9" s="1"/>
  <c r="N47" i="9"/>
  <c r="O48" i="9"/>
  <c r="P48" i="9" s="1"/>
  <c r="O46" i="9"/>
  <c r="P46" i="9" s="1"/>
  <c r="O45" i="9"/>
  <c r="M16" i="9" s="1"/>
  <c r="N45" i="9"/>
  <c r="L16" i="9" s="1"/>
  <c r="L17" i="9"/>
  <c r="M25" i="9"/>
  <c r="L21" i="9"/>
  <c r="L19" i="9"/>
  <c r="M22" i="9"/>
  <c r="L23" i="9"/>
  <c r="L20" i="9"/>
  <c r="Q31" i="9" l="1" a="1"/>
  <c r="Q31" i="9" s="1"/>
  <c r="Q25" i="9" a="1"/>
  <c r="Q25" i="9" s="1"/>
  <c r="Q22" i="9" a="1"/>
  <c r="Q22" i="9" s="1"/>
  <c r="Q38" i="9" a="1"/>
  <c r="Q38" i="9" s="1"/>
  <c r="Q29" i="9" a="1"/>
  <c r="Q29" i="9" s="1"/>
  <c r="Q36" i="9" a="1"/>
  <c r="Q36" i="9" s="1"/>
  <c r="Q26" i="9" a="1"/>
  <c r="Q26" i="9" s="1"/>
  <c r="Q16" i="9" a="1"/>
  <c r="Q16" i="9" s="1"/>
  <c r="Q32" i="9" a="1"/>
  <c r="Q32" i="9" s="1"/>
  <c r="Q30" i="9" a="1"/>
  <c r="Q30" i="9" s="1"/>
  <c r="Q39" i="9" a="1"/>
  <c r="Q39" i="9" s="1"/>
  <c r="Q33" i="9" a="1"/>
  <c r="Q33" i="9" s="1"/>
  <c r="Q34" i="9" a="1"/>
  <c r="Q34" i="9" s="1"/>
  <c r="Q37" i="9" a="1"/>
  <c r="Q37" i="9" s="1"/>
  <c r="Q35" i="9" a="1"/>
  <c r="Q35" i="9" s="1"/>
  <c r="Q24" i="9" a="1"/>
  <c r="Q24" i="9" s="1"/>
  <c r="AG38" i="9"/>
  <c r="AG31" i="9"/>
  <c r="AG36" i="9"/>
  <c r="AG37" i="9"/>
  <c r="AG32" i="9"/>
  <c r="AG34" i="9"/>
  <c r="AG39" i="9"/>
  <c r="AG33" i="9"/>
  <c r="AG35" i="9"/>
  <c r="M23" i="9"/>
  <c r="N23" i="9" s="1"/>
  <c r="Q57" i="9"/>
  <c r="R57" i="9" s="1"/>
  <c r="M27" i="9"/>
  <c r="O27" i="9" s="1"/>
  <c r="M28" i="9"/>
  <c r="Q28" i="9" s="1" a="1"/>
  <c r="Q28" i="9" s="1"/>
  <c r="Q52" i="9"/>
  <c r="R52" i="9" s="1"/>
  <c r="Q59" i="9"/>
  <c r="O30" i="9" s="1"/>
  <c r="P59" i="9"/>
  <c r="N30" i="9" s="1"/>
  <c r="Q51" i="9"/>
  <c r="O22" i="9" s="1"/>
  <c r="Q58" i="9"/>
  <c r="O29" i="9" s="1"/>
  <c r="P58" i="9"/>
  <c r="N29" i="9" s="1"/>
  <c r="P51" i="9"/>
  <c r="N22" i="9" s="1"/>
  <c r="P47" i="9"/>
  <c r="P56" i="9"/>
  <c r="R56" i="9" s="1"/>
  <c r="Q50" i="9"/>
  <c r="R50" i="9" s="1"/>
  <c r="M21" i="9"/>
  <c r="Q21" i="9" s="1" a="1"/>
  <c r="Q21" i="9" s="1"/>
  <c r="Q55" i="9"/>
  <c r="O26" i="9" s="1"/>
  <c r="P55" i="9"/>
  <c r="N26" i="9" s="1"/>
  <c r="Q54" i="9"/>
  <c r="O25" i="9" s="1"/>
  <c r="P54" i="9"/>
  <c r="M20" i="9"/>
  <c r="O20" i="9" s="1"/>
  <c r="Q46" i="9"/>
  <c r="R46" i="9" s="1"/>
  <c r="Q53" i="9"/>
  <c r="O24" i="9" s="1"/>
  <c r="P53" i="9"/>
  <c r="Q47" i="9"/>
  <c r="M19" i="9"/>
  <c r="N19" i="9" s="1"/>
  <c r="M17" i="9"/>
  <c r="P49" i="9"/>
  <c r="R49" i="9" s="1"/>
  <c r="L18" i="9"/>
  <c r="Q18" i="9" s="1" a="1"/>
  <c r="Q18" i="9" s="1"/>
  <c r="Q48" i="9"/>
  <c r="R48" i="9" s="1"/>
  <c r="Q45" i="9"/>
  <c r="P45" i="9"/>
  <c r="N17" i="9" l="1"/>
  <c r="O16" i="9"/>
  <c r="Q23" i="9" a="1"/>
  <c r="Q23" i="9" s="1"/>
  <c r="Q20" i="9" a="1"/>
  <c r="Q20" i="9" s="1"/>
  <c r="Q17" i="9" a="1"/>
  <c r="Q17" i="9" s="1"/>
  <c r="Q27" i="9" a="1"/>
  <c r="Q27" i="9" s="1"/>
  <c r="Q19" i="9" a="1"/>
  <c r="Q19" i="9" s="1"/>
  <c r="O28" i="9"/>
  <c r="P29" i="9"/>
  <c r="AG29" i="9" s="1"/>
  <c r="N28" i="9"/>
  <c r="P26" i="9"/>
  <c r="AG26" i="9" s="1"/>
  <c r="R51" i="9"/>
  <c r="N27" i="9"/>
  <c r="P30" i="9"/>
  <c r="AG30" i="9" s="1"/>
  <c r="O23" i="9"/>
  <c r="P23" i="9" s="1"/>
  <c r="R59" i="9"/>
  <c r="O21" i="9"/>
  <c r="R58" i="9"/>
  <c r="R53" i="9"/>
  <c r="N18" i="9"/>
  <c r="R54" i="9"/>
  <c r="N21" i="9"/>
  <c r="R47" i="9"/>
  <c r="R55" i="9"/>
  <c r="N25" i="9"/>
  <c r="P22" i="9"/>
  <c r="AG22" i="9" s="1"/>
  <c r="N24" i="9"/>
  <c r="O17" i="9"/>
  <c r="P17" i="9" s="1"/>
  <c r="N20" i="9"/>
  <c r="P20" i="9" s="1"/>
  <c r="O18" i="9"/>
  <c r="O19" i="9"/>
  <c r="R45" i="9"/>
  <c r="N16" i="9"/>
  <c r="P19" i="9" l="1"/>
  <c r="AG19" i="9" s="1"/>
  <c r="P24" i="9"/>
  <c r="AG24" i="9" s="1"/>
  <c r="P25" i="9"/>
  <c r="AG25" i="9" s="1"/>
  <c r="AG23" i="9"/>
  <c r="P27" i="9"/>
  <c r="AG27" i="9" s="1"/>
  <c r="AG20" i="9"/>
  <c r="AG17" i="9"/>
  <c r="N11" i="9"/>
  <c r="O11" i="9"/>
  <c r="P28" i="9"/>
  <c r="AG28" i="9" s="1"/>
  <c r="P16" i="9"/>
  <c r="AG16" i="9" s="1"/>
  <c r="N40" i="9"/>
  <c r="P21" i="9"/>
  <c r="AG21" i="9" s="1"/>
  <c r="O40" i="9"/>
  <c r="P18" i="9"/>
  <c r="AG18" i="9" s="1"/>
  <c r="P40" i="9" l="1"/>
  <c r="P11"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<sst xmlns="http://schemas.openxmlformats.org/spreadsheetml/2006/main" count="2579" uniqueCount="1201">
  <si>
    <t>In-Year Surplus Reporting &amp; Reallocation Requests</t>
  </si>
  <si>
    <t>Ontario Health Central is collecting the forecasted year-end surpluses by functional centre to facilitate requests for HSP reallocations and/or recoveries. 
Reallocations are an opportunity to optimize finite resources within the community sector to address service delivery pressures and capital sustainability, with consideration to the MOH-OH Accountability Agreement, Ontario Health’s Annual Business Plan, and Community Financial Policy.</t>
  </si>
  <si>
    <t>General Instructions</t>
  </si>
  <si>
    <r>
      <t xml:space="preserve">This template includes four (4) tabs for completion. 
</t>
    </r>
    <r>
      <rPr>
        <b/>
        <u/>
        <sz val="11"/>
        <color theme="1"/>
        <rFont val="Arial"/>
        <family val="2"/>
      </rPr>
      <t>All HSPs</t>
    </r>
    <r>
      <rPr>
        <b/>
        <sz val="11"/>
        <color theme="1"/>
        <rFont val="Arial"/>
        <family val="2"/>
      </rPr>
      <t xml:space="preserve"> must complete the yellow tabs ("HSP Info" and "Forecasted Surplus").</t>
    </r>
    <r>
      <rPr>
        <sz val="11"/>
        <color theme="1"/>
        <rFont val="Arial"/>
        <family val="2"/>
      </rPr>
      <t xml:space="preserve">
</t>
    </r>
    <r>
      <rPr>
        <b/>
        <u/>
        <sz val="11"/>
        <color theme="1"/>
        <rFont val="Arial"/>
        <family val="2"/>
      </rPr>
      <t>All HSPs reporting a surplus</t>
    </r>
    <r>
      <rPr>
        <b/>
        <sz val="11"/>
        <color theme="1"/>
        <rFont val="Arial"/>
        <family val="2"/>
      </rPr>
      <t xml:space="preserve"> may complete the green tab ("Request to Use Surplus") and/or red tab ("Recovery").</t>
    </r>
    <r>
      <rPr>
        <sz val="11"/>
        <color theme="1"/>
        <rFont val="Arial"/>
        <family val="2"/>
      </rPr>
      <t xml:space="preserve"> 
Note: </t>
    </r>
    <r>
      <rPr>
        <b/>
        <i/>
        <sz val="11"/>
        <color theme="1"/>
        <rFont val="Arial"/>
        <family val="2"/>
      </rPr>
      <t>In-year recoveries may be processed based on reported surplus where requests do not align with the MOH-OH Accountability Agreement, Ontario Health's Annual Business Plan, and Community Financial Policy in addition to reported surplus that remains unallocated in the "Recovery" tab.</t>
    </r>
  </si>
  <si>
    <t>Tab Details</t>
  </si>
  <si>
    <t>HSP Info</t>
  </si>
  <si>
    <t>Approval signature may be inserted digitally into the form or provided through the submission of the HSP Info tab as a PDF attachment including the signature.</t>
  </si>
  <si>
    <t>Forecasted Surplus</t>
  </si>
  <si>
    <r>
      <t>In accordance with Community Financial Policy</t>
    </r>
    <r>
      <rPr>
        <vertAlign val="superscript"/>
        <sz val="11"/>
        <color theme="1"/>
        <rFont val="Arial"/>
        <family val="2"/>
      </rPr>
      <t>[1]</t>
    </r>
    <r>
      <rPr>
        <sz val="11"/>
        <color theme="1"/>
        <rFont val="Arial"/>
        <family val="2"/>
      </rPr>
      <t>, please identify potential surpluses for your organization for the fiscal year ending March 31. The identify surplus provides Ontario Health (OH) Central with an opportunity to redirect forecasted year-end surpluses to strategic priorities and pressures within the healthcare system.</t>
    </r>
  </si>
  <si>
    <r>
      <t>The forecast is to be based on actual data for the period of April 1 to present and projected for the remaining fiscal year based on historical performance and professional judgement, aligned to yearend budget targets. The forecast should also align to the provider’s Self Reporting Initiative (SRI) - Community Quarterly Report. This forecast applies to Fund Type 2 for community programs delivered by community providers and hospitals under the following Transfer Payment Business Entities (TPBEs)</t>
    </r>
    <r>
      <rPr>
        <vertAlign val="superscript"/>
        <sz val="11"/>
        <color theme="1"/>
        <rFont val="Arial"/>
        <family val="2"/>
      </rPr>
      <t>[2]</t>
    </r>
    <r>
      <rPr>
        <sz val="11"/>
        <color theme="1"/>
        <rFont val="Arial"/>
        <family val="2"/>
      </rPr>
      <t>:</t>
    </r>
  </si>
  <si>
    <t>Community Mental Health Program</t>
  </si>
  <si>
    <t>(CMHP)</t>
  </si>
  <si>
    <t>Community Support Services</t>
  </si>
  <si>
    <t>(CSS)</t>
  </si>
  <si>
    <t xml:space="preserve">Substance Abuse Program </t>
  </si>
  <si>
    <t>(SAP)</t>
  </si>
  <si>
    <t>Palliative Care</t>
  </si>
  <si>
    <t>(PALC)</t>
  </si>
  <si>
    <t>Problem Gambling</t>
  </si>
  <si>
    <t>(PG)</t>
  </si>
  <si>
    <t xml:space="preserve">Attendant Outreach </t>
  </si>
  <si>
    <t>(AO)</t>
  </si>
  <si>
    <t xml:space="preserve">Children’s Mental Health </t>
  </si>
  <si>
    <t>(CMH)</t>
  </si>
  <si>
    <t xml:space="preserve">Supportive Housing </t>
  </si>
  <si>
    <t>(SH)</t>
  </si>
  <si>
    <t xml:space="preserve">Acquired Brain Injury </t>
  </si>
  <si>
    <t>(ABI)</t>
  </si>
  <si>
    <t xml:space="preserve">Community Health Centre </t>
  </si>
  <si>
    <t>(CHC)</t>
  </si>
  <si>
    <t>Psychiatric Outpatient Medical Salaries</t>
  </si>
  <si>
    <t>(POMS)</t>
  </si>
  <si>
    <t>Sessional Fees</t>
  </si>
  <si>
    <t>(SF)</t>
  </si>
  <si>
    <t>Ontario Health - Home Care</t>
  </si>
  <si>
    <t>(HC-OH)</t>
  </si>
  <si>
    <t>Request to Use Surplus</t>
  </si>
  <si>
    <t xml:space="preserve">All requests to use surplus funds should be submitted through this process.  </t>
  </si>
  <si>
    <t>Prior written approval is required to substitute one type of approved service for another or to use funding for purposes other than outlined through the MSAA and funding letter amendments.</t>
  </si>
  <si>
    <t>Reallocation and capital purchase requests are limited to the TPBE in which the surplus is located. No transfers between TPBEs are permitted.</t>
  </si>
  <si>
    <t>Recovery</t>
  </si>
  <si>
    <r>
      <t>Any identified surplus will be recovered by OH Central</t>
    </r>
    <r>
      <rPr>
        <sz val="10"/>
        <color theme="1"/>
        <rFont val="Calibri"/>
        <family val="2"/>
        <scheme val="minor"/>
      </rPr>
      <t xml:space="preserve"> </t>
    </r>
    <r>
      <rPr>
        <sz val="11"/>
        <color theme="1"/>
        <rFont val="Arial"/>
        <family val="2"/>
      </rPr>
      <t xml:space="preserve">to support strategic priorities and pressures within the healthcare system. Providers will continue to be expected to maintain a balanced budget by fiscal yearend.  </t>
    </r>
  </si>
  <si>
    <t>If you have any questions, please contact Jenna Mitchell, Lead, Performance, Accountability and Funding Allocation, at Jenna.Mitchell@ontariohealth.ca.</t>
  </si>
  <si>
    <t>[2] Excludes dedicated funding envelopes – Sessional Fees (SF) and Psychiatric Outpatient Medical Salaries (POMS).</t>
  </si>
  <si>
    <t>HSP Information</t>
  </si>
  <si>
    <r>
      <rPr>
        <b/>
        <sz val="11"/>
        <color theme="1"/>
        <rFont val="Calibri"/>
        <family val="2"/>
        <scheme val="minor"/>
      </rPr>
      <t>Instructions</t>
    </r>
    <r>
      <rPr>
        <sz val="11"/>
        <color theme="1"/>
        <rFont val="Calibri"/>
        <family val="2"/>
        <scheme val="minor"/>
      </rPr>
      <t>: Fill out all fields</t>
    </r>
  </si>
  <si>
    <t>Index</t>
  </si>
  <si>
    <t>Description</t>
  </si>
  <si>
    <t>Details</t>
  </si>
  <si>
    <t>Date of Submission</t>
  </si>
  <si>
    <t>Legacy LHIN</t>
  </si>
  <si>
    <t>Organization Name</t>
  </si>
  <si>
    <t>Primary Contact Name</t>
  </si>
  <si>
    <t>Primary Contact Position</t>
  </si>
  <si>
    <t>Primary Contact Number</t>
  </si>
  <si>
    <t>Primary Contact Email</t>
  </si>
  <si>
    <t>Health Service Provider CEO or ED Approval Signature</t>
  </si>
  <si>
    <t>Signatory Name (Typed/Printed)</t>
  </si>
  <si>
    <t>Date Signed</t>
  </si>
  <si>
    <t>Section 1</t>
  </si>
  <si>
    <r>
      <t xml:space="preserve">Instructions: </t>
    </r>
    <r>
      <rPr>
        <sz val="11"/>
        <rFont val="Calibri"/>
        <family val="2"/>
        <scheme val="minor"/>
      </rPr>
      <t xml:space="preserve">Input any year end forecasted surplus in the chart below. </t>
    </r>
  </si>
  <si>
    <t>If surpluses exist in programs that are reported in the same functional centre as other programs, please list each program with surplus on a separate line and include details of restrictions on use of funds, if applicable.</t>
  </si>
  <si>
    <t>↓ Example ↓</t>
  </si>
  <si>
    <t>CMHP</t>
  </si>
  <si>
    <t>Clinics/Programs - MH Counseling and Treatment 72 5 10 76 12</t>
  </si>
  <si>
    <t>Indigenous Culturally Safe Counselling</t>
  </si>
  <si>
    <t>Base Funding 2020/21</t>
  </si>
  <si>
    <t>Identification of Surplus</t>
  </si>
  <si>
    <t>Add to Recoveries</t>
  </si>
  <si>
    <t>Surplus TPBE</t>
  </si>
  <si>
    <t>Surplus Drop-Down</t>
  </si>
  <si>
    <t>Sector</t>
  </si>
  <si>
    <r>
      <rPr>
        <b/>
        <sz val="11"/>
        <rFont val="Calibri"/>
        <family val="2"/>
        <scheme val="minor"/>
      </rPr>
      <t xml:space="preserve">Transfer Payment Business Entity (TPBE) </t>
    </r>
    <r>
      <rPr>
        <b/>
        <u/>
        <sz val="11"/>
        <color theme="10"/>
        <rFont val="Calibri"/>
        <family val="2"/>
        <scheme val="minor"/>
      </rPr>
      <t>[1]</t>
    </r>
  </si>
  <si>
    <t>Functional Centre Name and Number</t>
  </si>
  <si>
    <t>Program Name</t>
  </si>
  <si>
    <t>Rationale for Surplus</t>
  </si>
  <si>
    <t>Forecasted Surplus Available for Reallocation or Recovery</t>
  </si>
  <si>
    <t>TPBE</t>
  </si>
  <si>
    <t>Functional Centre</t>
  </si>
  <si>
    <t>Column2</t>
  </si>
  <si>
    <t>Column3</t>
  </si>
  <si>
    <t>Column1</t>
  </si>
  <si>
    <t>Surplus</t>
  </si>
  <si>
    <t>Total Forecasted Surplus</t>
  </si>
  <si>
    <t>Surplus Present?</t>
  </si>
  <si>
    <r>
      <rPr>
        <b/>
        <sz val="11"/>
        <color theme="8"/>
        <rFont val="Calibri"/>
        <family val="2"/>
        <scheme val="minor"/>
      </rPr>
      <t>[1]</t>
    </r>
    <r>
      <rPr>
        <sz val="11"/>
        <rFont val="Calibri"/>
        <family val="2"/>
        <scheme val="minor"/>
      </rPr>
      <t xml:space="preserve"> Refer to the Memorandum for a list of Transfer Payment Business Entities (TPBEs)</t>
    </r>
  </si>
  <si>
    <t>Section 2</t>
  </si>
  <si>
    <t>Request to Use Forecasted Surplus Funds</t>
  </si>
  <si>
    <r>
      <rPr>
        <b/>
        <sz val="11"/>
        <color theme="1"/>
        <rFont val="Calibri"/>
        <family val="2"/>
        <scheme val="minor"/>
      </rPr>
      <t>Step 2</t>
    </r>
    <r>
      <rPr>
        <sz val="11"/>
        <color theme="1"/>
        <rFont val="Calibri"/>
        <family val="2"/>
        <scheme val="minor"/>
      </rPr>
      <t xml:space="preserve"> - Use the remaining lines on the chart below to identify the source of funds to support the requests, including the rationale for the surplus and reduction of service volumes by identifying as a "Reallocation." Requests that do not have a reallocation source within the same TPBE or do not follow the same restrictions of the original funding source will not be considered.</t>
    </r>
  </si>
  <si>
    <t>Reallocation</t>
  </si>
  <si>
    <t>CSS</t>
  </si>
  <si>
    <t>CSS IH - Meals Delivery 72 5 82 10</t>
  </si>
  <si>
    <t>Meals Delivery</t>
  </si>
  <si>
    <t>Surplus from cancelled orders</t>
  </si>
  <si>
    <t>Request</t>
  </si>
  <si>
    <t>CSS IH - Caregiver Support 72 5 82 50</t>
  </si>
  <si>
    <t>Caregiver Support</t>
  </si>
  <si>
    <t>Additional Program Hours</t>
  </si>
  <si>
    <t>Surplus Allocation Summary</t>
  </si>
  <si>
    <t>Reallocation between/within Functional Centres</t>
  </si>
  <si>
    <t>Corresponding Service Volume Adjustments</t>
  </si>
  <si>
    <t>Forecasted Surplus Available for Reallocation</t>
  </si>
  <si>
    <t>Surplus Reallocation Request</t>
  </si>
  <si>
    <t>Surplus to be Recovered by OH</t>
  </si>
  <si>
    <t>Reallocation/ Request</t>
  </si>
  <si>
    <t>Transfer Payment Business Entity (TPBE)</t>
  </si>
  <si>
    <t>Name of Program for Reallocation (From) or Brief Description of Service or Item Requested (To)</t>
  </si>
  <si>
    <t>Rationale for the Surplus (From) or Request (To)</t>
  </si>
  <si>
    <t>Amount $</t>
  </si>
  <si>
    <t>Error Checking</t>
  </si>
  <si>
    <t>Full-time equivalents (FTE)</t>
  </si>
  <si>
    <t xml:space="preserve">Visits </t>
  </si>
  <si>
    <t xml:space="preserve">Not Uniquely Identified Service Recipient Interactions </t>
  </si>
  <si>
    <t xml:space="preserve">Hours of Care </t>
  </si>
  <si>
    <t xml:space="preserve">Inpatient/Resident Days </t>
  </si>
  <si>
    <t xml:space="preserve">Individuals Served by Functional Centre  </t>
  </si>
  <si>
    <t>Attendance Days</t>
  </si>
  <si>
    <t>Group Sessions</t>
  </si>
  <si>
    <t xml:space="preserve">Meal Delivered-Combined </t>
  </si>
  <si>
    <t xml:space="preserve">Group Participant Attendances </t>
  </si>
  <si>
    <t>Service Provider Interactions</t>
  </si>
  <si>
    <t>Service Provider Group Interactions</t>
  </si>
  <si>
    <t>Mental Health Sessions</t>
  </si>
  <si>
    <t>Adj. Amount</t>
  </si>
  <si>
    <t>TPBE FC Surplus to Reallocate</t>
  </si>
  <si>
    <t>TPBE Group</t>
  </si>
  <si>
    <t>TPBE Group Starting Surplus</t>
  </si>
  <si>
    <t>TPBE Group Surplus to Reallocate</t>
  </si>
  <si>
    <t>TPBE Group Surplus Used</t>
  </si>
  <si>
    <t>TPBE Sector Check Reallocation</t>
  </si>
  <si>
    <t>Check Data</t>
  </si>
  <si>
    <t>FC Surplus</t>
  </si>
  <si>
    <t>Reallocated</t>
  </si>
  <si>
    <t>Reallocation Type</t>
  </si>
  <si>
    <t>FC</t>
  </si>
  <si>
    <t>Rationale</t>
  </si>
  <si>
    <t>Amount</t>
  </si>
  <si>
    <t>Column4</t>
  </si>
  <si>
    <t>FTE</t>
  </si>
  <si>
    <t>NUISRI</t>
  </si>
  <si>
    <t>HoC</t>
  </si>
  <si>
    <t>Inpatient</t>
  </si>
  <si>
    <t>IS</t>
  </si>
  <si>
    <t>AD</t>
  </si>
  <si>
    <t>GS</t>
  </si>
  <si>
    <t>MD-C</t>
  </si>
  <si>
    <t>CPA</t>
  </si>
  <si>
    <t>SPI</t>
  </si>
  <si>
    <t>SPGI</t>
  </si>
  <si>
    <t>MHS</t>
  </si>
  <si>
    <t>Surplus_Start</t>
  </si>
  <si>
    <t>Surplus_Used</t>
  </si>
  <si>
    <t>Check_TPBE_Group_Surplus</t>
  </si>
  <si>
    <t>ABI</t>
  </si>
  <si>
    <t>AO/CSS/PALC</t>
  </si>
  <si>
    <t>CHC</t>
  </si>
  <si>
    <t>CMH</t>
  </si>
  <si>
    <t>HC-OH</t>
  </si>
  <si>
    <t>PG</t>
  </si>
  <si>
    <t>POMS</t>
  </si>
  <si>
    <t>SAP</t>
  </si>
  <si>
    <t>SF</t>
  </si>
  <si>
    <t>SH</t>
  </si>
  <si>
    <t>Total</t>
  </si>
  <si>
    <t>Total Amount Reallocated</t>
  </si>
  <si>
    <t>Net Reallocation → Must Equal 0</t>
  </si>
  <si>
    <r>
      <rPr>
        <b/>
        <sz val="11"/>
        <color theme="8"/>
        <rFont val="Calibri"/>
        <family val="2"/>
        <scheme val="minor"/>
      </rPr>
      <t>[2]</t>
    </r>
    <r>
      <rPr>
        <sz val="11"/>
        <rFont val="Calibri"/>
        <family val="2"/>
        <scheme val="minor"/>
      </rPr>
      <t xml:space="preserve"> Service activity adjustments are only required when proposing to increase service in relation to the functional center</t>
    </r>
  </si>
  <si>
    <t>Section 3</t>
  </si>
  <si>
    <t>Funds To Be Recovered</t>
  </si>
  <si>
    <r>
      <rPr>
        <b/>
        <sz val="11"/>
        <color theme="1"/>
        <rFont val="Calibri"/>
        <family val="2"/>
        <scheme val="minor"/>
      </rPr>
      <t xml:space="preserve">Instructions: </t>
    </r>
    <r>
      <rPr>
        <sz val="11"/>
        <color theme="1"/>
        <rFont val="Calibri"/>
        <family val="2"/>
        <scheme val="minor"/>
      </rPr>
      <t xml:space="preserve">Enter any service volume adjustments related to the surplus identified in the event they may be recovered. Note that any identified surplus may be recovered by OH Central to support strategic priorities and pressures within the healthcare system. Providers will continue to be expected to maintain a balanced budget by fiscal yearend.  </t>
    </r>
  </si>
  <si>
    <t>Example</t>
  </si>
  <si>
    <t>Ontario Health Recovery</t>
  </si>
  <si>
    <r>
      <t xml:space="preserve">Service Volume Adjustments Corresponding to Recoveries </t>
    </r>
    <r>
      <rPr>
        <b/>
        <sz val="16"/>
        <color theme="8"/>
        <rFont val="Calibri"/>
        <family val="2"/>
        <scheme val="minor"/>
      </rPr>
      <t>[1]</t>
    </r>
  </si>
  <si>
    <t>Net Forecasted Surplus</t>
  </si>
  <si>
    <t>Surplus Amount Requested for Reallocation</t>
  </si>
  <si>
    <t>Funding to be Recovered by Ontario Health</t>
  </si>
  <si>
    <t xml:space="preserve">Inpatient/ Resident Days </t>
  </si>
  <si>
    <t>Surplus Requested</t>
  </si>
  <si>
    <t>Recovery Amount</t>
  </si>
  <si>
    <t>Lookup ID</t>
  </si>
  <si>
    <r>
      <rPr>
        <b/>
        <sz val="11"/>
        <color theme="8"/>
        <rFont val="Calibri"/>
        <family val="2"/>
        <scheme val="minor"/>
      </rPr>
      <t>[1]</t>
    </r>
    <r>
      <rPr>
        <sz val="11"/>
        <color theme="1"/>
        <rFont val="Calibri"/>
        <family val="2"/>
        <scheme val="minor"/>
      </rPr>
      <t xml:space="preserve"> The unit costs for service volume adjustment requests should align to the unit costs agreed upon in the current Multi-Sector Service Accountability Agreement (M-SAA) and/or the associated funding letters.</t>
    </r>
  </si>
  <si>
    <t>Check Line</t>
  </si>
  <si>
    <t>Surplus Usage Request</t>
  </si>
  <si>
    <t>Amount to Recover</t>
  </si>
  <si>
    <t>Recovery Index</t>
  </si>
  <si>
    <t>Table</t>
  </si>
  <si>
    <t>Table Index</t>
  </si>
  <si>
    <t>Table Unique Index</t>
  </si>
  <si>
    <t>FC #</t>
  </si>
  <si>
    <t>Visits</t>
  </si>
  <si>
    <t>Not Uniquely Identified Service Recipient Interactions</t>
  </si>
  <si>
    <t>Hours of Care</t>
  </si>
  <si>
    <t>Inpatient/Resident Days</t>
  </si>
  <si>
    <t>Individuals Served by Functional Centre</t>
  </si>
  <si>
    <t>Meal Delivered-Combined</t>
  </si>
  <si>
    <t>Total Cost for Functional Centre</t>
  </si>
  <si>
    <t>Group Participant Attendances</t>
  </si>
  <si>
    <t>Undistributed Accounting Centres 82 9</t>
  </si>
  <si>
    <t>82 9</t>
  </si>
  <si>
    <t>M</t>
  </si>
  <si>
    <t>Administration and Support Services 72 1</t>
  </si>
  <si>
    <t>72 1</t>
  </si>
  <si>
    <t>COM Clinical Management 72 5 05</t>
  </si>
  <si>
    <t>72 5 05</t>
  </si>
  <si>
    <t>COM Medical Resources 72 5 07</t>
  </si>
  <si>
    <t>72 5 07</t>
  </si>
  <si>
    <t>LAB Pre/Post Analysis 72 4 10 21</t>
  </si>
  <si>
    <t>72 4 10 21</t>
  </si>
  <si>
    <t>MI Combined Functions 72 4 15 99</t>
  </si>
  <si>
    <t>72 4 15 99</t>
  </si>
  <si>
    <t>NV Non - Invasive Cardiology - Combined 72 4 30 20 99</t>
  </si>
  <si>
    <t>72 4 30 20 99</t>
  </si>
  <si>
    <t>CMH&amp;A Centralized/Coordinated Access  72 5 08</t>
  </si>
  <si>
    <t>72 5 08</t>
  </si>
  <si>
    <t>Case Management (Home Care) 72 5 09 30</t>
  </si>
  <si>
    <t>72 5 09 30</t>
  </si>
  <si>
    <t>Case Management/Supportive Counselling &amp; Services - Mental Health 72 5 09 76</t>
  </si>
  <si>
    <t>72 5 09 76</t>
  </si>
  <si>
    <t>Case Management/Supportive Counselling &amp; Services - Addictions Supportive Housing 72 5 09 78 10</t>
  </si>
  <si>
    <t>72 5 09 78 10</t>
  </si>
  <si>
    <t>Case Management Addictions - Substance Abuse 72 5 09 78 11</t>
  </si>
  <si>
    <t>72 5 09 78 11</t>
  </si>
  <si>
    <t>Clinics/Programs - Primary Care Practice 72 5 10 05</t>
  </si>
  <si>
    <t>72 5 10 05</t>
  </si>
  <si>
    <t>Clinics/Programs - Walk In Clinic 72 5 10 10</t>
  </si>
  <si>
    <t>72 5 10 10</t>
  </si>
  <si>
    <t>Clinics/Programs - Nursing Clinic 72 5 10 15</t>
  </si>
  <si>
    <t>72 5 10 15</t>
  </si>
  <si>
    <t>Clinics/Programs - General Clinic 72 5 10 20</t>
  </si>
  <si>
    <t>72 5 10 20</t>
  </si>
  <si>
    <t>Clinics/Programs - Combined Clinic 72 5 10 30</t>
  </si>
  <si>
    <t>72 5 10 30</t>
  </si>
  <si>
    <t>Clinics/Programs - Therapy Clinic - General 72 5 10 40 10</t>
  </si>
  <si>
    <t>72 5 10 40 10</t>
  </si>
  <si>
    <t>Clinics/Programs - Therapy Clinic - Foot Care 72 5 10 40 20</t>
  </si>
  <si>
    <t>72 5 10 40 20</t>
  </si>
  <si>
    <t>Clinics/Programs - Therapy Clinic - Naturopathy 72 5 10 40 30</t>
  </si>
  <si>
    <t>72 5 10 40 30</t>
  </si>
  <si>
    <t>Clinics/Programs - Therapy Clinic - Pharmacy 72 5 10 40 40</t>
  </si>
  <si>
    <t>72 5 10 40 40</t>
  </si>
  <si>
    <t>Clinics/Programs - Therapy Clinic - Nutrition 72 5 10 40 45</t>
  </si>
  <si>
    <t>72 5 10 40 45</t>
  </si>
  <si>
    <t>Clinics/Programs - Therapy Clinic - Physiotherapy 72 5 10 40 50</t>
  </si>
  <si>
    <t>72 5 10 40 50</t>
  </si>
  <si>
    <t>Clinics/Programs - Therapy Clinic - Occupational Therapy 72 5 10 40 55</t>
  </si>
  <si>
    <t>72 5 10 40 55</t>
  </si>
  <si>
    <t>Clinics/Programs - Therapy Clinic - Counselling 72 5 10 40 60</t>
  </si>
  <si>
    <t>72 5 10 40 60</t>
  </si>
  <si>
    <t>Clinics/Programs - Therapy Clinic - Speech and Language Pathology 72 5 10 40 62</t>
  </si>
  <si>
    <t>72 5 10 40 62</t>
  </si>
  <si>
    <t>Clinics/Programs - Therapy Clinic - Massage Therapy 72 5 10 40 64</t>
  </si>
  <si>
    <t>72 5 10 40 64</t>
  </si>
  <si>
    <t>Clinics/Programs – Oral Health Clinic 72 5 10 45</t>
  </si>
  <si>
    <t>72 5 10 45</t>
  </si>
  <si>
    <t>Clinics/Programs - Chronic Disease - General Clinic 72 5 10 50 10</t>
  </si>
  <si>
    <t>72 5 10 50 10</t>
  </si>
  <si>
    <t>Clinics/Programs - Chronic Disease - Diabetes Clinic 72 5 10 50 20</t>
  </si>
  <si>
    <t>72 5 10 50 20</t>
  </si>
  <si>
    <t>Clinics/Programs - Chronic Disease - Asthma Clinic 72 5 10 50 30</t>
  </si>
  <si>
    <t>72 5 10 50 30</t>
  </si>
  <si>
    <t>Clinics/Programs - Chronic Disease - Hepatitis C and/or HIV/AIDS Clinic 72 5 10 50 40</t>
  </si>
  <si>
    <t>72 5 10 50 40</t>
  </si>
  <si>
    <t>Clinics/Programs - Chronic Disease – Cardiac Rehabilitation Clinic 72 5 10 50 50</t>
  </si>
  <si>
    <t>72 5 10 50 50</t>
  </si>
  <si>
    <t>Clinics/Programs – CHC Other Clinic 72 5 10 55</t>
  </si>
  <si>
    <t>72 5 10 55</t>
  </si>
  <si>
    <t>Clinics/Programs - Oncology - Treatment Outreach Clinic 72 5 10 66 10</t>
  </si>
  <si>
    <t>72 5 10 66 10</t>
  </si>
  <si>
    <t>Clinics/Programs - Oncology - Preventative Clinics 72 5 10 66 20</t>
  </si>
  <si>
    <t>72 5 10 66 20</t>
  </si>
  <si>
    <t>Clinics Programs - MH Counseling and Treatment 72 5 10 76 12</t>
  </si>
  <si>
    <t>72 5 10 76 12</t>
  </si>
  <si>
    <t>MH Assertive Community Treatment Teams 72 5 10 76 20</t>
  </si>
  <si>
    <t>72 5 10 76 20</t>
  </si>
  <si>
    <t>MH Community Clinic 72 5 10 76 30</t>
  </si>
  <si>
    <t>72 5 10 76 30</t>
  </si>
  <si>
    <t>MH Vocational/Employment 72 5 10 76 40</t>
  </si>
  <si>
    <t>72 5 10 76 40</t>
  </si>
  <si>
    <t>MH Clubhouses 72 5 10 76 41</t>
  </si>
  <si>
    <t>72 5 10 76 41</t>
  </si>
  <si>
    <t>MH Child/Adolescent 72 5 10 76 50</t>
  </si>
  <si>
    <t>72 5 10 76 50</t>
  </si>
  <si>
    <t>MH Early Intervention 72 5 10 76 51</t>
  </si>
  <si>
    <t>72 5 10 76 51</t>
  </si>
  <si>
    <t>MH Forensic 72 5 10 76 55</t>
  </si>
  <si>
    <t>72 5 10 76 55</t>
  </si>
  <si>
    <t>MH Diversion and Court Support 72 5 10 76 56</t>
  </si>
  <si>
    <t>72 5 10 76 56</t>
  </si>
  <si>
    <t>MH Abuse Services 72 5 10 76 60</t>
  </si>
  <si>
    <t>72 5 10 76 60</t>
  </si>
  <si>
    <t>MH Eating Disorders 72 5 10 76 70</t>
  </si>
  <si>
    <t>72 5 10 76 70</t>
  </si>
  <si>
    <t>MH Social Rehab./Recreation 72 5 10 76 81</t>
  </si>
  <si>
    <t>72 5 10 76 81</t>
  </si>
  <si>
    <t>MH Psycho-geriatric 72 5 10 76 96</t>
  </si>
  <si>
    <t>72 5 10 76 96</t>
  </si>
  <si>
    <t>Other MH Services not elsewhere  identified 72 5 10 76 99</t>
  </si>
  <si>
    <t>72 5 10 76 99</t>
  </si>
  <si>
    <t>Addictions Treatment-Substance Abuse 72 5 10 78 11</t>
  </si>
  <si>
    <t>72 5 10 78 11</t>
  </si>
  <si>
    <t>Addictions Treatment-Problem Gambling  72 5 10 78 12</t>
  </si>
  <si>
    <t>72 5 10 78 12</t>
  </si>
  <si>
    <t>Addictions Withdrawal Mgmt. 72 5 10 78 20</t>
  </si>
  <si>
    <t>72 5 10 78 20</t>
  </si>
  <si>
    <t>Crisis Intervention - Hot Lines 72 5 15 10</t>
  </si>
  <si>
    <t>72 5 15 10</t>
  </si>
  <si>
    <t>Crisis Intervention - Abuse Services 72 5 15 15</t>
  </si>
  <si>
    <t>72 5 15 15</t>
  </si>
  <si>
    <t>Crisis Intervention - Quick Response 72 5 15 20</t>
  </si>
  <si>
    <t>72 5 15 20</t>
  </si>
  <si>
    <t>Crisis Intervention - Victim Services 72 5 15 25</t>
  </si>
  <si>
    <t>72 5 15 25</t>
  </si>
  <si>
    <t>Crisis Intervention - Combined 72 5 15 30</t>
  </si>
  <si>
    <t>72 5 15 30</t>
  </si>
  <si>
    <t>Crisis Intervention - Mental Health 72 5 15 76</t>
  </si>
  <si>
    <t>72 5 15 76</t>
  </si>
  <si>
    <t>Day/Night Combined 72 5 20 30</t>
  </si>
  <si>
    <t>72 5 20 30</t>
  </si>
  <si>
    <t>Day/Night Care Mental Health General 72 5 20 76 10</t>
  </si>
  <si>
    <t>72 5 20 76 10</t>
  </si>
  <si>
    <t>Day/Night Care Mental Health MH eating Disorder 72 5 20 76 70</t>
  </si>
  <si>
    <t>72 5 20 76 70</t>
  </si>
  <si>
    <t>Day/Evening Addictions Treatment 72 5 20 78 10</t>
  </si>
  <si>
    <t>72 5 20 78 10</t>
  </si>
  <si>
    <t>COM Day Care - Rehab Medical 72 5 20 81 10</t>
  </si>
  <si>
    <t>72 5 20 81 10</t>
  </si>
  <si>
    <t>COM Day Care - Rehab Trauma 72 5 20 81 28</t>
  </si>
  <si>
    <t>72 5 20 81 28</t>
  </si>
  <si>
    <t>Day Care - Rehab Combined 72 5 20 81 30</t>
  </si>
  <si>
    <t>72 5 20 81 30</t>
  </si>
  <si>
    <t>COM Day Care - Rehab Burn 72 5 20 81 35</t>
  </si>
  <si>
    <t>72 5 20 81 35</t>
  </si>
  <si>
    <t>COM Day Care - Rehab Cardiac 72 5 20 81 42</t>
  </si>
  <si>
    <t>72 5 20 81 42</t>
  </si>
  <si>
    <t>COM Day Care - Rehab Head Injury/Acquired Brain Injury 72 5 20 81 61</t>
  </si>
  <si>
    <t>72 5 20 81 61</t>
  </si>
  <si>
    <t>COM Day Care - Rehab Spinal Cord 72 5 20 81 63</t>
  </si>
  <si>
    <t>72 5 20 81 63</t>
  </si>
  <si>
    <t>COM Day Care - Rehab Oncology 72 5 20 81 66</t>
  </si>
  <si>
    <t>72 5 20 81 66</t>
  </si>
  <si>
    <t>COM Day Care - Rehab Orthopedic 72 5 20 81 72</t>
  </si>
  <si>
    <t>72 5 20 81 72</t>
  </si>
  <si>
    <t>COM Day Care - Rehab Amputee Rehab 72 5 20 81 73</t>
  </si>
  <si>
    <t>72 5 20 81 73</t>
  </si>
  <si>
    <t>COM Day Care - Rehab Care Pediatric 72 5 20 81 74</t>
  </si>
  <si>
    <t>72 5 20 81 74</t>
  </si>
  <si>
    <t>COM Day Care Regional Geriatric 72 5 20 96</t>
  </si>
  <si>
    <t>72 5 20 96</t>
  </si>
  <si>
    <t>In-Home HPS - Nursing - Visiting 72 5 30 40 11</t>
  </si>
  <si>
    <t>72 5 30 40 11</t>
  </si>
  <si>
    <t>In-Home HPS - Nursing - Shift 72 5 30 40 12</t>
  </si>
  <si>
    <t>72 5 30 40 12</t>
  </si>
  <si>
    <t>In-Home HPS -  Remote – Managed Home Care 72 5 30 40 13</t>
  </si>
  <si>
    <t>72 5 30 40 13</t>
  </si>
  <si>
    <t>In-Home HPS – Wound Care Outcome 72 5 30 40 20</t>
  </si>
  <si>
    <t>72 5 30 40 20</t>
  </si>
  <si>
    <t>In-Home HPS - Orthopedic Care Outcome 72 5 30 40 25</t>
  </si>
  <si>
    <t>72 5 30 40 25</t>
  </si>
  <si>
    <t>In-Home HPS - Respiratory Services 72 5 30 40 35</t>
  </si>
  <si>
    <t>72 5 30 40 35</t>
  </si>
  <si>
    <t>In-Home HPS - Family Managed Care 72 5 30 40 30</t>
  </si>
  <si>
    <t>72 5 30 40 30</t>
  </si>
  <si>
    <t>In-Home HPS – Medication Management 72 5 30 40 40</t>
  </si>
  <si>
    <t>72 5 30 40 40</t>
  </si>
  <si>
    <t>In-Home HPS - Nutrition/Dietetic 72 5 30 40 45</t>
  </si>
  <si>
    <t>72 5 30 40 45</t>
  </si>
  <si>
    <t>In-Home HPS - Physiotherapy 72 5 30 40 50</t>
  </si>
  <si>
    <t>72 5 30 40 50</t>
  </si>
  <si>
    <t>In-Home HPS - Occupational Therapy 72 5 30 40 55</t>
  </si>
  <si>
    <t>72 5 30 40 55</t>
  </si>
  <si>
    <t>In-Home HPS - Speech Lang. Path. 72 5 30 40 62</t>
  </si>
  <si>
    <t>72 5 30 40 62</t>
  </si>
  <si>
    <t>In-Home HPS - Social Work 72 5 30 40 70</t>
  </si>
  <si>
    <t>72 5 30 40 70</t>
  </si>
  <si>
    <t>In-Home HPS - Psychology 72 5 30 40 75</t>
  </si>
  <si>
    <t>72 5 30 40 75</t>
  </si>
  <si>
    <t>Private/Home SHPS - Nursing - Visiting 72 5 30 42 11</t>
  </si>
  <si>
    <t>72 5 30 42 11</t>
  </si>
  <si>
    <t>Private/Home SHPS - Nursing - Shift 72 5 30 42 12</t>
  </si>
  <si>
    <t>72 5 30 42 12</t>
  </si>
  <si>
    <t>Private/Home SHPS - Family Managed Homce Care 72 5 30 42 30</t>
  </si>
  <si>
    <t>72 5 30 42 30</t>
  </si>
  <si>
    <t>Private/Home SHPS - Nutrition/Dietetic 72 5 30 42 45</t>
  </si>
  <si>
    <t>72 5 30 42 45</t>
  </si>
  <si>
    <t>Private/Home SHPS - Physiotherapy 72 5 30 42 50</t>
  </si>
  <si>
    <t>72 5 30 42 50</t>
  </si>
  <si>
    <t>Private/Home SHPS - Occupational Therapy 72 5 30 42 55</t>
  </si>
  <si>
    <t>72 5 30 42 55</t>
  </si>
  <si>
    <t>Private/Home SHPS - Speech Lang. Path. 72 5 30 42 62</t>
  </si>
  <si>
    <t>72 5 30 42 62</t>
  </si>
  <si>
    <t>Public SHPS - Nursing - Visiting 72 5 30 44 11</t>
  </si>
  <si>
    <t>72 5 30 44 11</t>
  </si>
  <si>
    <t>Public SHPS - Nursing - Shift 72 5 30 44 12</t>
  </si>
  <si>
    <t>72 5 30 44 12</t>
  </si>
  <si>
    <t>Public SHPS - Nutrition/Dietetic 72 5 30 44 45</t>
  </si>
  <si>
    <t>72 5 30 44 45</t>
  </si>
  <si>
    <t>Public SHPS - Physiotherapy 72 5 30 44 50</t>
  </si>
  <si>
    <t>72 5 30 44 50</t>
  </si>
  <si>
    <t>Public SHPS - Occ.  Therapy 72 5 30 44 55</t>
  </si>
  <si>
    <t>72 5 30 44 55</t>
  </si>
  <si>
    <t>Public SHPS - Speech Lang. Path. 72 5 30 44 62</t>
  </si>
  <si>
    <t>72 5 30 44 62</t>
  </si>
  <si>
    <t>MH Home Care - Psychiatric Follow-Up 72 5 30 76 10</t>
  </si>
  <si>
    <t>72 5 30 76 10</t>
  </si>
  <si>
    <t>MH Home Care - Psychiatric Acute 72 5 30 76 25</t>
  </si>
  <si>
    <t>72 5 30 76 25</t>
  </si>
  <si>
    <t>MH Home Care - Child/Adolescent 72 5 30 76 50</t>
  </si>
  <si>
    <t>72 5 30 76 50</t>
  </si>
  <si>
    <t>MH Home Care - Forensic Psychiatry 72 5 30 76 55</t>
  </si>
  <si>
    <t>72 5 30 76 55</t>
  </si>
  <si>
    <t>MH Home Care - Psychiatric Rehab 72 5 30 76 81</t>
  </si>
  <si>
    <t>72 5 30 76 81</t>
  </si>
  <si>
    <t>MH Home Care - Psychiatric Crisis 72 5 30 76 90</t>
  </si>
  <si>
    <t>72 5 30 76 90</t>
  </si>
  <si>
    <t>MH Home Care - Longer Term 72 5 30 76 95</t>
  </si>
  <si>
    <t>72 5 30 76 95</t>
  </si>
  <si>
    <t>MH Home Care - Geriatric Psych. Assess. 72 5 30 76 96</t>
  </si>
  <si>
    <t>72 5 30 76 96</t>
  </si>
  <si>
    <t>Addictions Home Care - Addictions 72 5 30 78 10</t>
  </si>
  <si>
    <t>72 5 30 78 10</t>
  </si>
  <si>
    <t>Onlcology Home Care 72 5 30 66</t>
  </si>
  <si>
    <t>72 5 30 66</t>
  </si>
  <si>
    <t>Home Care - Community Paramedicine 72 5 30 80 05</t>
  </si>
  <si>
    <t>72 5 30 80 05</t>
  </si>
  <si>
    <t>Dialysis Home Care 72 5 30 86</t>
  </si>
  <si>
    <t>72 5 30 86</t>
  </si>
  <si>
    <t>Palliative Home Care 72 5 30 94</t>
  </si>
  <si>
    <t>72 5 30 94</t>
  </si>
  <si>
    <t>In-Home Support - Personal Support 72 5 35 40 10</t>
  </si>
  <si>
    <t>72 5 35 40 10</t>
  </si>
  <si>
    <t>In-Home Support  - Homemaking Services 72 5 35 40 20</t>
  </si>
  <si>
    <t>72 5 35 40 20</t>
  </si>
  <si>
    <t>In-Home Support - Comb. PS and HM Services 72 5 35 40 30</t>
  </si>
  <si>
    <t>72 5 35 40 30</t>
  </si>
  <si>
    <t>In-Home Support - Family Managed Home Care 72 5 35 40 40</t>
  </si>
  <si>
    <t>72 5 35 40 40</t>
  </si>
  <si>
    <t>School Health Personal Support Services (SHPSS) 72 5 35 42 10</t>
  </si>
  <si>
    <t>72 5 35 42 10</t>
  </si>
  <si>
    <t>Respite Service 72 5 35 45</t>
  </si>
  <si>
    <t>72 5 35 45</t>
  </si>
  <si>
    <t>Res. Mental Health - Homes for Special Care 72 5 40 76 10</t>
  </si>
  <si>
    <t>72 5 40 76 10</t>
  </si>
  <si>
    <t>Res. Mental Health - Support within Housing 72 5 40 76 30</t>
  </si>
  <si>
    <t>72 5 40 76 30</t>
  </si>
  <si>
    <t>Res. Mental Health - Housing Bricks &amp; Mortar 72 5 40 76 40</t>
  </si>
  <si>
    <t>72 5 40 76 40</t>
  </si>
  <si>
    <t>Res. Mental Health - Rent Supplement Program 72 5 40 76 50</t>
  </si>
  <si>
    <t>72 5 40 76 50</t>
  </si>
  <si>
    <t>Res. Mental Health - Short Term Crisis Support Beds 72 5 40 76 60</t>
  </si>
  <si>
    <t>72 5 40 76 60</t>
  </si>
  <si>
    <t>COM Residential Addiction - Treatment Services-Substance Abuse 72 5 40 78 11</t>
  </si>
  <si>
    <t>72 5 40 78 11</t>
  </si>
  <si>
    <t>COM Residential Addiction - Treatment Services-Problem Gambling 72 5 40 78 12</t>
  </si>
  <si>
    <t>72 5 40 78 12</t>
  </si>
  <si>
    <t>COM Residential Addiction - Supportive Treatment 72 5 40 78 30</t>
  </si>
  <si>
    <t>72 5 40 78 30</t>
  </si>
  <si>
    <t>COM Residential Addictions - Housing Bricks &amp; Mortar 72 5 40 78 40</t>
  </si>
  <si>
    <t>72 5 40 78 40</t>
  </si>
  <si>
    <t>COM Residential Addiction - Withdrawal Management Centres 72 5 40 78 45</t>
  </si>
  <si>
    <t>72 5 40 78 45</t>
  </si>
  <si>
    <t>COM – Residential Addiction - Substance Abuse – Rent Supplement Program 72 5 40 75 50</t>
  </si>
  <si>
    <t>72 5 40 75 50</t>
  </si>
  <si>
    <t>Residential Hospice - EOL-Nursing Visiting 72 5 40 95 11</t>
  </si>
  <si>
    <t>72 5 40 95 11</t>
  </si>
  <si>
    <t>Residential Hospice - EOL-Nursing Shift 72 5 40 95 12</t>
  </si>
  <si>
    <t>72 5 40 95 12</t>
  </si>
  <si>
    <t>Residential Hospice - EOL-Combined PS and HM Services 72 5 40 95 30</t>
  </si>
  <si>
    <t>72 5 40 95 30</t>
  </si>
  <si>
    <t>Residential Hospice - EOL-Nutrition/Dietetic 72 5 40 95 45</t>
  </si>
  <si>
    <t>72 5 40 95 45</t>
  </si>
  <si>
    <t>Residential Hospice - EOL-Physiotherapy 72 5 40 95 50</t>
  </si>
  <si>
    <t>72 5 40 95 50</t>
  </si>
  <si>
    <t>Residential Hospice - EOL-Occupational Therapy 72 5 40 95 55</t>
  </si>
  <si>
    <t>72 5 40 95 55</t>
  </si>
  <si>
    <t>Residential Hospice - EOL-Speech Language Pathology 72 5 40 95 62</t>
  </si>
  <si>
    <t>72 5 40 95 62</t>
  </si>
  <si>
    <t>Residential Hospice - EOL-Social Work 72 5 40 95 70</t>
  </si>
  <si>
    <t>72 5 40 95 70</t>
  </si>
  <si>
    <t>Health Prom/Educ &amp; Dev - General 72 5 50 10</t>
  </si>
  <si>
    <t>72 5 50 10</t>
  </si>
  <si>
    <t>COM Health Prom/Educ.&amp; Com. Dev. – Health Promotion &amp; Community Development 72 5 50 12</t>
  </si>
  <si>
    <t>72 5 50 12</t>
  </si>
  <si>
    <t>COM Health Prom/Educ. &amp; Com.Dev. – Community Engagement and Capacity Building 72 5 50 14</t>
  </si>
  <si>
    <t>72 5 50 14</t>
  </si>
  <si>
    <t>Health Prom/Educ. &amp; Com. Dev.- Chronic Disease Education, Awareness and Prevention- General 72 5 50 35 10</t>
  </si>
  <si>
    <t>72 5 50 35 10</t>
  </si>
  <si>
    <t>Health Prom/Educ. &amp; Com. Dev.- Chronic Disease Education, Awareness and Prevention- Diabetes 72 5 50 35 20</t>
  </si>
  <si>
    <t>72 5 50 35 20</t>
  </si>
  <si>
    <t>Health Prom/Educ. &amp; Com. Dev.- Chronic Disease Education, Awareness and Prevention- Asthma 72 5 50 35 30</t>
  </si>
  <si>
    <t>72 5 50 35 30</t>
  </si>
  <si>
    <t>Health Prom/Educ. &amp; Com. Dev.- Chronic Disease Education, Awareness and Prevention- Hepetitis C / HIV/AIDS 72 5 50 35 40</t>
  </si>
  <si>
    <t>72 5 50 35 40</t>
  </si>
  <si>
    <t>Health Prom/Educ.&amp; Com. Dev. - Chronic Disease Education, Awareness and Prevention – Cardiac  Rehabilitation 72 5 50 35 50</t>
  </si>
  <si>
    <t>72 5 50 35 50</t>
  </si>
  <si>
    <t>Health Prom/Educ.&amp; Dev. – Diabetes Regional Coordination Centres 72 5 50 40 10</t>
  </si>
  <si>
    <t>72 5 50 40 10</t>
  </si>
  <si>
    <t>Health Prom/Educ.&amp; Com. Dev. – Heart and Stroke General 72 5 50 42 10</t>
  </si>
  <si>
    <t>72 5 50 42 10</t>
  </si>
  <si>
    <t>Health Prom/Educ.&amp; Com. Dev. – Stroke Strategy (Practice Guidelines) 72 5 50 42 20</t>
  </si>
  <si>
    <t>72 5 50 42 20</t>
  </si>
  <si>
    <t>Health Prom/Educ.&amp; Com. Dev. - Personal Health and Wellness – General 72 5 50 45 05</t>
  </si>
  <si>
    <t>72 5 50 45 05</t>
  </si>
  <si>
    <t>Health Prom/Educ.&amp; Com. Dev. - Personal Health and Wellness – Mental Wellness, Personal Health Practices and Coping Skills  72 5 50 45 10</t>
  </si>
  <si>
    <t>72 5 50 45 10</t>
  </si>
  <si>
    <t>Health Prom/Educ.&amp; Com. Dev. - Personal Health and Wellness – Oral Health 72 5 50 45 20</t>
  </si>
  <si>
    <t>72 5 50 45 20</t>
  </si>
  <si>
    <t>Health Prom/Educ.&amp; Com. Dev. - Personal Health and Wellness –  Healthy Child 72 5 50 45 30</t>
  </si>
  <si>
    <t>72 5 50 45 30</t>
  </si>
  <si>
    <t>Health Prom/Educ.&amp; Com. Dev - Personal Health and Wellness – Youth Development 72 5 50 45 40</t>
  </si>
  <si>
    <t>72 5 50 45 40</t>
  </si>
  <si>
    <t>Health Prom/Educ.&amp; Com. Dev. - Family Clinics 72 5 50 50</t>
  </si>
  <si>
    <t>72 5 50 50</t>
  </si>
  <si>
    <t>Health Promotion/Education - Oncology General 72 5 50 66 10</t>
  </si>
  <si>
    <t>72 5 50 66 10</t>
  </si>
  <si>
    <t>Health Promotion/Education - Oncology Practice Guidelines 72 5 50 66 20</t>
  </si>
  <si>
    <t>72 5 50 66 20</t>
  </si>
  <si>
    <t>Health Promotion/Education - Mental Health &amp; Additictions (Home Care) 72 5 50 75 10</t>
  </si>
  <si>
    <t>72 5 50 75 10</t>
  </si>
  <si>
    <t>Health Prom. /Education MH - Awareness 72 5 50 76 10</t>
  </si>
  <si>
    <t>72 5 50 76 10</t>
  </si>
  <si>
    <t>Health Promo. /Education MH - Women 72 5 50 76 30</t>
  </si>
  <si>
    <t>72 5 50 76 30</t>
  </si>
  <si>
    <t>Health Promo. /Education MH  - Community  Development 72 5 50 76 40</t>
  </si>
  <si>
    <t>72 5 50 76 40</t>
  </si>
  <si>
    <t>Health Prom./Educ. Addictions - Drug Awareness 72 5 50 78 10</t>
  </si>
  <si>
    <t>72 5 50 78 10</t>
  </si>
  <si>
    <t>Health Prom./Educ  Addictions - Problem Gambling  Awareness 72 5 50 78 20</t>
  </si>
  <si>
    <t>72 5 50 78 20</t>
  </si>
  <si>
    <t>Health Prom./Educ. Addictions - Community  Development-Substance Abuse 72 5 50 78 40</t>
  </si>
  <si>
    <t>72 5 50 78 40</t>
  </si>
  <si>
    <t>CHC Client Support Services 72 5 85</t>
  </si>
  <si>
    <t>72 5 85</t>
  </si>
  <si>
    <t>Health Prom. /Educ - Palliative Care Interdisciplinary 72 5 50 94 10</t>
  </si>
  <si>
    <t>72 5 50 94 10</t>
  </si>
  <si>
    <t>Health Prom. /Educ - Palliative Care Physician 72 5 50 94 90</t>
  </si>
  <si>
    <t>72 5 50 94 90</t>
  </si>
  <si>
    <t>Health Prom. /Educ - Palliative Care Pain and Symptom  Management 72 5 50 94 91</t>
  </si>
  <si>
    <t>72 5 50 94 91</t>
  </si>
  <si>
    <t>Health Prom/Educ &amp; Dev - General Geriatric 72 5 50 96 10</t>
  </si>
  <si>
    <t>72 5 50 96 10</t>
  </si>
  <si>
    <t>Health Prom/Educ &amp; Dev - Psycho-Geriatric 72 5 50 96 76</t>
  </si>
  <si>
    <t>72 5 50 96 76</t>
  </si>
  <si>
    <t>Consumer Survivor Initiatives - Peer/Self Help 72 5 51 76 11</t>
  </si>
  <si>
    <t>72 5 51 76 11</t>
  </si>
  <si>
    <t>Consumer Survivor Initiatives - Alternative Businesses 72 5 51 76 12</t>
  </si>
  <si>
    <t>72 5 51 76 12</t>
  </si>
  <si>
    <t>Consumer Survivor Initiatives - Family Initiatives 72 5 51 76 20</t>
  </si>
  <si>
    <t>72 5 51 76 20</t>
  </si>
  <si>
    <t>COM Comm. Disease Prev. and Control – General 72 5 54 *</t>
  </si>
  <si>
    <t>72 5 54 *</t>
  </si>
  <si>
    <t>COM Promotion and Prevention 72 5 58 *</t>
  </si>
  <si>
    <t>72 5 58 *</t>
  </si>
  <si>
    <t>COM Environmental Health 72 5 60</t>
  </si>
  <si>
    <t>72 5 60</t>
  </si>
  <si>
    <t>COM Licensing 72 5 65</t>
  </si>
  <si>
    <t>72 5 65</t>
  </si>
  <si>
    <t>Information and Referral Service - General 72 5 70 10</t>
  </si>
  <si>
    <t>72 5 70 10</t>
  </si>
  <si>
    <t>Information and Referral Service - Provincial Mental Health 72 5 70 76</t>
  </si>
  <si>
    <t>72 5 70 76</t>
  </si>
  <si>
    <t>Information and Referral Service - Provincial - Substance Abuse 72 5 70 78 11</t>
  </si>
  <si>
    <t>72 5 70 78 11</t>
  </si>
  <si>
    <t>Information and Referral Service - Provincial - Problem Gambling 72 5 70 78 12</t>
  </si>
  <si>
    <t>72 5 70 78 12</t>
  </si>
  <si>
    <t>Provincial &amp; Regional Health System Development 72 5 75</t>
  </si>
  <si>
    <t>72 5 75</t>
  </si>
  <si>
    <t>CSS IH - Service Arrangement/Coordination 72 5 82 05</t>
  </si>
  <si>
    <t>72 5 82 05</t>
  </si>
  <si>
    <t>CSS IH - Case Management 72 5 82 09</t>
  </si>
  <si>
    <t>72 5 82 09</t>
  </si>
  <si>
    <t>72 5 82 10</t>
  </si>
  <si>
    <t>CSS IH - Social and Congregate Dining 72 5 82 12</t>
  </si>
  <si>
    <t>72 5 82 12</t>
  </si>
  <si>
    <t>CSS IH - Transportation - Client 72 5 82 14</t>
  </si>
  <si>
    <t>72 5 82 14</t>
  </si>
  <si>
    <t>CSS IH - Crisis Intervention and Support 72 5 82 15</t>
  </si>
  <si>
    <t>72 5 82 15</t>
  </si>
  <si>
    <t>CSS IH - Day Services 72 5 82 20</t>
  </si>
  <si>
    <t>72 5 82 20</t>
  </si>
  <si>
    <t>CSS IH - Homemaking 72 5 82 31</t>
  </si>
  <si>
    <t>72 5 82 31</t>
  </si>
  <si>
    <t>CSS IH - Home Maintenance 72 5 82 32</t>
  </si>
  <si>
    <t>72 5 82 32</t>
  </si>
  <si>
    <t>CSS IH - Personal Support/Independence Training 72 5 82 33</t>
  </si>
  <si>
    <t>72 5 82 33</t>
  </si>
  <si>
    <t>CSS IH - Respite 72 5 82 34</t>
  </si>
  <si>
    <t>72 5 82 34</t>
  </si>
  <si>
    <t>CSS IH - Comb. PS/HM/Respite Services 72 5 82 35</t>
  </si>
  <si>
    <t>72 5 82 35</t>
  </si>
  <si>
    <t>CSS IH - Overnight Stay Care 72 5 82 40</t>
  </si>
  <si>
    <t>72 5 82 40</t>
  </si>
  <si>
    <t>CSS IH -  Assisted Living Services 72 5 82 45</t>
  </si>
  <si>
    <t>72 5 82 45</t>
  </si>
  <si>
    <t>72 5 82 50</t>
  </si>
  <si>
    <t>CSS IH - Emergency Response Support Services 72 5 82 55</t>
  </si>
  <si>
    <t>72 5 82 55</t>
  </si>
  <si>
    <t>CSS IH - Visiting - Social and Safety 72 5 82 60</t>
  </si>
  <si>
    <t>72 5 82 60</t>
  </si>
  <si>
    <t>CSS IH - Visiting - Hospice Services 72 5 82 65</t>
  </si>
  <si>
    <t>72 5 82 65</t>
  </si>
  <si>
    <t>CSS IH - Foot Care  Services 72 5 82 70</t>
  </si>
  <si>
    <t>72 5 82 70</t>
  </si>
  <si>
    <t>CSS IH - Vision Rehabilitation Services 72 5 82 75</t>
  </si>
  <si>
    <t>72 5 82 75</t>
  </si>
  <si>
    <t>CSS IH - Deaf, Deafened and Hard of Hearing Care Services 72 5 82 77</t>
  </si>
  <si>
    <t>72 5 82 77</t>
  </si>
  <si>
    <t>CSS ABI - Day Services 72 5 83 20</t>
  </si>
  <si>
    <t>72 5 83 20</t>
  </si>
  <si>
    <t>CSS ABI - Vocational Training and Education Services 72 5 83 30</t>
  </si>
  <si>
    <t>72 5 83 30</t>
  </si>
  <si>
    <t>CSS ABI - Personal Support/Independence Training 72 5 83 33</t>
  </si>
  <si>
    <t>72 5 83 33</t>
  </si>
  <si>
    <t>CSS ABI - Assisted Living Services 72 5 83 45</t>
  </si>
  <si>
    <t>72 5 83 45</t>
  </si>
  <si>
    <t>CSS Com Sup Init - Support Service Training 72 5 84 10</t>
  </si>
  <si>
    <t>72 5 84 10</t>
  </si>
  <si>
    <t>CSS Com Sup Init - Self Managed Attendant Services 72 5 84 20</t>
  </si>
  <si>
    <t>72 5 84 20</t>
  </si>
  <si>
    <t>CSS Com Sup Init - Personal Support Worker Training 72 5 84 30</t>
  </si>
  <si>
    <t>72 5 84 30</t>
  </si>
  <si>
    <t>CHC Research - Community Health and Social Services 72 7 50</t>
  </si>
  <si>
    <t>72 7 50</t>
  </si>
  <si>
    <t>Education-In Service 72 8 40</t>
  </si>
  <si>
    <t>72 8 40</t>
  </si>
  <si>
    <t>TPBE Reallocation FC List</t>
  </si>
  <si>
    <t>Group</t>
  </si>
  <si>
    <t>Group Num</t>
  </si>
  <si>
    <t>FC Surplus Amount</t>
  </si>
  <si>
    <t>Reallocation DD Check</t>
  </si>
  <si>
    <t>Request DD Check</t>
  </si>
  <si>
    <t>Reallocation DD</t>
  </si>
  <si>
    <t>Request DD</t>
  </si>
  <si>
    <t>Restricted DD List</t>
  </si>
  <si>
    <t>AO</t>
  </si>
  <si>
    <t>CHC - Non-Insured</t>
  </si>
  <si>
    <t>CHC - Physician</t>
  </si>
  <si>
    <t>PALC</t>
  </si>
  <si>
    <t>LHIN</t>
  </si>
  <si>
    <t>Facility</t>
  </si>
  <si>
    <t>Recipient</t>
  </si>
  <si>
    <t>HSP Name</t>
  </si>
  <si>
    <t>Proper</t>
  </si>
  <si>
    <t>Acronym</t>
  </si>
  <si>
    <t>Acquired Brain Injury</t>
  </si>
  <si>
    <t>Base Funding 2019/20</t>
  </si>
  <si>
    <t>CENT</t>
  </si>
  <si>
    <t>4094</t>
  </si>
  <si>
    <t>448123</t>
  </si>
  <si>
    <t>ACCESS INDEPENDENT LIVING SERVICES</t>
  </si>
  <si>
    <t>ACCESS</t>
  </si>
  <si>
    <t>Attendant Outreach</t>
  </si>
  <si>
    <t>324</t>
  </si>
  <si>
    <t>101342</t>
  </si>
  <si>
    <t>ACROSS BOUNDARIES</t>
  </si>
  <si>
    <t>ACROSS</t>
  </si>
  <si>
    <t>Base Funding 2021/22</t>
  </si>
  <si>
    <t>573</t>
  </si>
  <si>
    <t>103799</t>
  </si>
  <si>
    <t>ADDICTION SERVICES OF YORK REGION</t>
  </si>
  <si>
    <t>ASYR</t>
  </si>
  <si>
    <t>Community Health Centre (Non-Insured)</t>
  </si>
  <si>
    <t>Base Funding 2022/23</t>
  </si>
  <si>
    <t>4098</t>
  </si>
  <si>
    <t>104229</t>
  </si>
  <si>
    <t>ALZHEIMER SOCIETY OF YORK REGION</t>
  </si>
  <si>
    <t>AS York</t>
  </si>
  <si>
    <t>Community Health Centre (Physician)</t>
  </si>
  <si>
    <t>Base Funding 2023/24</t>
  </si>
  <si>
    <t>4007</t>
  </si>
  <si>
    <t>103745</t>
  </si>
  <si>
    <t>APHASIA INSTITUTE</t>
  </si>
  <si>
    <t>APHASIA</t>
  </si>
  <si>
    <t>Childrens' Mental Health</t>
  </si>
  <si>
    <t>Non-Insured</t>
  </si>
  <si>
    <t>BERNARD BETEL CENTRE FOR CREATIVE LIVING</t>
  </si>
  <si>
    <t>Bernard</t>
  </si>
  <si>
    <t>One-Time Funding 2023/24</t>
  </si>
  <si>
    <t>4422</t>
  </si>
  <si>
    <t>354996</t>
  </si>
  <si>
    <t>BETTER LIVING HEALTH AND COMMUNITY SERVICES</t>
  </si>
  <si>
    <t>BLHCS</t>
  </si>
  <si>
    <t>Physician Funding</t>
  </si>
  <si>
    <t>8011</t>
  </si>
  <si>
    <t>81201</t>
  </si>
  <si>
    <t>BLACK CREEK COMMUNITY HEALTH</t>
  </si>
  <si>
    <t>BCCHC</t>
  </si>
  <si>
    <t>Restricted Funding Prior to 2020/21 (Specify in Restriction Details)</t>
  </si>
  <si>
    <t>4414</t>
  </si>
  <si>
    <t>1366</t>
  </si>
  <si>
    <t>CANADIAN HEARING SERVICES SERVICES CANADIENS DE L'OUIE</t>
  </si>
  <si>
    <t>CHSS</t>
  </si>
  <si>
    <t>Unrestricted Funding Prior to 2020/21</t>
  </si>
  <si>
    <t>352</t>
  </si>
  <si>
    <t>103875</t>
  </si>
  <si>
    <t>CANADIAN MENTAL HEALTH ASSOC (CMHA) YORK REGION</t>
  </si>
  <si>
    <t>CMHA YR</t>
  </si>
  <si>
    <t>361</t>
  </si>
  <si>
    <t>103221</t>
  </si>
  <si>
    <t>CANADIAN MENTAL HEALTH ASSOCIATION TORONTO BRANCH</t>
  </si>
  <si>
    <t>CMHA Toronto</t>
  </si>
  <si>
    <t>100987</t>
  </si>
  <si>
    <t>CAREFIRST SENIORS AND COMMUNITY SERVICES ASSOCIATION</t>
  </si>
  <si>
    <t>Carefirst</t>
  </si>
  <si>
    <t>Substance Abuse Program</t>
  </si>
  <si>
    <t>574</t>
  </si>
  <si>
    <t>102934</t>
  </si>
  <si>
    <t>CARITAS SCHOOL OF LIFE</t>
  </si>
  <si>
    <t>CARITAS</t>
  </si>
  <si>
    <t>308</t>
  </si>
  <si>
    <t>53275</t>
  </si>
  <si>
    <t>CEDAR CENTRE</t>
  </si>
  <si>
    <t>CEDAR</t>
  </si>
  <si>
    <t>Supportive Housing</t>
  </si>
  <si>
    <t>4270</t>
  </si>
  <si>
    <t>40905</t>
  </si>
  <si>
    <t>CEREBRAL PALSY PARENT COUNCIL OF TORONTO</t>
  </si>
  <si>
    <t>CPPC</t>
  </si>
  <si>
    <t>4415</t>
  </si>
  <si>
    <t>21840</t>
  </si>
  <si>
    <t>CHIPPEWAS OF GEORGINA ISLAND</t>
  </si>
  <si>
    <t>Chippewas GI</t>
  </si>
  <si>
    <t>4420</t>
  </si>
  <si>
    <t>102982</t>
  </si>
  <si>
    <t>CIRCLE OF HOME CARE SERVICES (TORONTO)</t>
  </si>
  <si>
    <t>CHCS</t>
  </si>
  <si>
    <t>4272</t>
  </si>
  <si>
    <t>3310</t>
  </si>
  <si>
    <t>CITY OF TORONTO</t>
  </si>
  <si>
    <t>CoTor</t>
  </si>
  <si>
    <t>4115</t>
  </si>
  <si>
    <t>42650</t>
  </si>
  <si>
    <t>COMMUNITY HEAD INJURY RESOURCE SERVICES OF TORONTO</t>
  </si>
  <si>
    <t>CHIRS</t>
  </si>
  <si>
    <t>4016</t>
  </si>
  <si>
    <t>102976</t>
  </si>
  <si>
    <t>COMMUNITY HOME ASSISTANCE TO SENIORS</t>
  </si>
  <si>
    <t>CHATS</t>
  </si>
  <si>
    <t>460</t>
  </si>
  <si>
    <t>103845</t>
  </si>
  <si>
    <t>COTA HEALTH</t>
  </si>
  <si>
    <t>COTA</t>
  </si>
  <si>
    <t>4123</t>
  </si>
  <si>
    <t>102908</t>
  </si>
  <si>
    <t>ETOBICOKE SERVICES FOR SENIORS</t>
  </si>
  <si>
    <t>Etobioke Sen</t>
  </si>
  <si>
    <t>4298</t>
  </si>
  <si>
    <t>100647</t>
  </si>
  <si>
    <t>HAZEL BURNS HOSPICE</t>
  </si>
  <si>
    <t>Hazel B Hospice</t>
  </si>
  <si>
    <t>941</t>
  </si>
  <si>
    <t>2707</t>
  </si>
  <si>
    <t>HUMBER RIVER HOSPITAL</t>
  </si>
  <si>
    <t>HRH</t>
  </si>
  <si>
    <t>409</t>
  </si>
  <si>
    <t>52909</t>
  </si>
  <si>
    <t>JANE/FINCH COMMUNITY &amp; FAMILY CENTRE</t>
  </si>
  <si>
    <t>JFCFC</t>
  </si>
  <si>
    <t>254</t>
  </si>
  <si>
    <t>103530</t>
  </si>
  <si>
    <t>KRASMAN CENTRE (THE LANCE KRASMAN MEMORIAL CENTRE FOR COMMUNITY MENTAL HEALTH)</t>
  </si>
  <si>
    <t>Krasman</t>
  </si>
  <si>
    <t>48849</t>
  </si>
  <si>
    <t>LOFT COMMUNITY SERVICES</t>
  </si>
  <si>
    <t>LOFT</t>
  </si>
  <si>
    <t>4070</t>
  </si>
  <si>
    <t>104267</t>
  </si>
  <si>
    <t>LUMACARE SERVICES</t>
  </si>
  <si>
    <t>LUMACARE</t>
  </si>
  <si>
    <t>701</t>
  </si>
  <si>
    <t>7618</t>
  </si>
  <si>
    <t>MACKENZIE HEALTH</t>
  </si>
  <si>
    <t>MACKENZIE</t>
  </si>
  <si>
    <t>4173</t>
  </si>
  <si>
    <t>13671</t>
  </si>
  <si>
    <t>MARCH OF DIMES CANADA</t>
  </si>
  <si>
    <t>MOD</t>
  </si>
  <si>
    <t>4193</t>
  </si>
  <si>
    <t>42959</t>
  </si>
  <si>
    <t>NEW UNIONVILLE HOME SOCIETY</t>
  </si>
  <si>
    <t>NUH</t>
  </si>
  <si>
    <t>632</t>
  </si>
  <si>
    <t>9458</t>
  </si>
  <si>
    <t>NORTH YORK GENERAL HOSPITAL</t>
  </si>
  <si>
    <t>NYGH</t>
  </si>
  <si>
    <t>4421</t>
  </si>
  <si>
    <t>52843</t>
  </si>
  <si>
    <t>NORTH YORK SENIORS CENTRE</t>
  </si>
  <si>
    <t>NY Seniors</t>
  </si>
  <si>
    <t>4339</t>
  </si>
  <si>
    <t>40723</t>
  </si>
  <si>
    <t>NORTH YORKERS FOR DISABLED PERSONS INC</t>
  </si>
  <si>
    <t>NY Disabled</t>
  </si>
  <si>
    <t>905</t>
  </si>
  <si>
    <t>81132</t>
  </si>
  <si>
    <t>Oak Valley Health</t>
  </si>
  <si>
    <t>MSH</t>
  </si>
  <si>
    <t>4155</t>
  </si>
  <si>
    <t>104142</t>
  </si>
  <si>
    <t>PACE INDEPENDENT LIVING</t>
  </si>
  <si>
    <t>PACE</t>
  </si>
  <si>
    <t>2056</t>
  </si>
  <si>
    <t>102355</t>
  </si>
  <si>
    <t>REENA</t>
  </si>
  <si>
    <t>2014</t>
  </si>
  <si>
    <t>305</t>
  </si>
  <si>
    <t>REGIONAL MUNICIPALITY OF YORK</t>
  </si>
  <si>
    <t>RMoY</t>
  </si>
  <si>
    <t>736</t>
  </si>
  <si>
    <t>35667</t>
  </si>
  <si>
    <t>SOUTHLAKE REGIONAL HEALTH CENTRE</t>
  </si>
  <si>
    <t>SRH</t>
  </si>
  <si>
    <t>4356</t>
  </si>
  <si>
    <t>103339</t>
  </si>
  <si>
    <t>ST DEMETRIUS SUPPORTIVE CARE SERVICES</t>
  </si>
  <si>
    <t>SDSCS</t>
  </si>
  <si>
    <t>596</t>
  </si>
  <si>
    <t>81107</t>
  </si>
  <si>
    <t>STEVENSON MEMORIAL HOSPITAL</t>
  </si>
  <si>
    <t>SMH</t>
  </si>
  <si>
    <t>457</t>
  </si>
  <si>
    <t>102961</t>
  </si>
  <si>
    <t>TORONTO NORTH SUPPORT SERVICES</t>
  </si>
  <si>
    <t>TNS</t>
  </si>
  <si>
    <t>8033</t>
  </si>
  <si>
    <t>337971</t>
  </si>
  <si>
    <t>VAUGHAN COMMUNITY HEALTH CENTRE CORPORATION</t>
  </si>
  <si>
    <t>VCHCC</t>
  </si>
  <si>
    <t>6000</t>
  </si>
  <si>
    <t>103792</t>
  </si>
  <si>
    <t>VILLA COLOMBO HOMES FOR THE AGED</t>
  </si>
  <si>
    <t xml:space="preserve">Villa Colombo </t>
  </si>
  <si>
    <t>584</t>
  </si>
  <si>
    <t>102307</t>
  </si>
  <si>
    <t>VITANOVA FOUNDATION</t>
  </si>
  <si>
    <t>VITANOVA</t>
  </si>
  <si>
    <t>4643</t>
  </si>
  <si>
    <t>103639</t>
  </si>
  <si>
    <t>YEE HONG CENTRE FOR GERIATRIC CARE</t>
  </si>
  <si>
    <t>YH-Markham</t>
  </si>
  <si>
    <t>379</t>
  </si>
  <si>
    <t>99445</t>
  </si>
  <si>
    <t>YOR-SUP-NET SUPPORT SERVICE NETWORK</t>
  </si>
  <si>
    <t>YSSN</t>
  </si>
  <si>
    <t>CW</t>
  </si>
  <si>
    <t>4563</t>
  </si>
  <si>
    <t>101251</t>
  </si>
  <si>
    <t>ALZHEIMER SOCIETY OF DUFFERIN COUNTY</t>
  </si>
  <si>
    <t xml:space="preserve">AS Dufferin </t>
  </si>
  <si>
    <t>4247</t>
  </si>
  <si>
    <t>103740</t>
  </si>
  <si>
    <t>ALZHEIMER SOCIETY PEEL</t>
  </si>
  <si>
    <t>AS Peel</t>
  </si>
  <si>
    <t>4300</t>
  </si>
  <si>
    <t>100674</t>
  </si>
  <si>
    <t>BETHELL HOSPICE</t>
  </si>
  <si>
    <t>BETHELL</t>
  </si>
  <si>
    <t>4263</t>
  </si>
  <si>
    <t>104243</t>
  </si>
  <si>
    <t>BRAMPTON MEALS ON WHEELS</t>
  </si>
  <si>
    <t>BRAMPTON MOW</t>
  </si>
  <si>
    <t>4266</t>
  </si>
  <si>
    <t>72897</t>
  </si>
  <si>
    <t>CALEDON COMMUNITY SERVICES</t>
  </si>
  <si>
    <t>CCS</t>
  </si>
  <si>
    <t>4267</t>
  </si>
  <si>
    <t>101111</t>
  </si>
  <si>
    <t>CALEDON MEALS ON WHEELS</t>
  </si>
  <si>
    <t>CALEDON MOW</t>
  </si>
  <si>
    <t>434</t>
  </si>
  <si>
    <t>103032</t>
  </si>
  <si>
    <t>CANADIAN MENTAL HEALTH ASSOCIATION - PEEL BRANCH</t>
  </si>
  <si>
    <t>CMHA PEEL</t>
  </si>
  <si>
    <t>4109</t>
  </si>
  <si>
    <t>100960</t>
  </si>
  <si>
    <t>CANES COMMUNITY CARE</t>
  </si>
  <si>
    <t>CANES CW</t>
  </si>
  <si>
    <t>4435</t>
  </si>
  <si>
    <t>23</t>
  </si>
  <si>
    <t>COUNTY OF DUFFERIN</t>
  </si>
  <si>
    <t>DUFFERIN CSS</t>
  </si>
  <si>
    <t>285</t>
  </si>
  <si>
    <t>43588</t>
  </si>
  <si>
    <t>FAMILY TRANSITION PLACE</t>
  </si>
  <si>
    <t>FTP</t>
  </si>
  <si>
    <t>370</t>
  </si>
  <si>
    <t>104227</t>
  </si>
  <si>
    <t>FRIENDS &amp; ADVOCATES-PEEL</t>
  </si>
  <si>
    <t>FAP</t>
  </si>
  <si>
    <t>512</t>
  </si>
  <si>
    <t>63320</t>
  </si>
  <si>
    <t>GOVERNING COUNCIL OF THE SALVATION ARMY IN CANADA</t>
  </si>
  <si>
    <t>HOPE ACRES</t>
  </si>
  <si>
    <t>4299</t>
  </si>
  <si>
    <t>43344</t>
  </si>
  <si>
    <t>HOLLAND CHRISTIAN HOMES INC</t>
  </si>
  <si>
    <t>HCH</t>
  </si>
  <si>
    <t>4025</t>
  </si>
  <si>
    <t>100675</t>
  </si>
  <si>
    <t>HOSPICE DUFFERIN</t>
  </si>
  <si>
    <t>4433</t>
  </si>
  <si>
    <t>53211</t>
  </si>
  <si>
    <t>INDUS COMMUNITY SERVICES</t>
  </si>
  <si>
    <t>INDUS-CW</t>
  </si>
  <si>
    <t>4432</t>
  </si>
  <si>
    <t>645195</t>
  </si>
  <si>
    <t>PEEL CHESHIRE HOME (BRAMPTON) INC</t>
  </si>
  <si>
    <t>PCHB</t>
  </si>
  <si>
    <t>4073</t>
  </si>
  <si>
    <t>103643</t>
  </si>
  <si>
    <t>PEEL SENIOR LINK</t>
  </si>
  <si>
    <t>PSL-CW</t>
  </si>
  <si>
    <t>2029</t>
  </si>
  <si>
    <t>391747</t>
  </si>
  <si>
    <t>PUNJABI COMMUNITY HEALTH SERVICES</t>
  </si>
  <si>
    <t>PCHS</t>
  </si>
  <si>
    <t>4437</t>
  </si>
  <si>
    <t>3319</t>
  </si>
  <si>
    <t>REGIONAL MUNICIPALITY OF PEEL</t>
  </si>
  <si>
    <t>RMoP</t>
  </si>
  <si>
    <t>8024</t>
  </si>
  <si>
    <t>81075</t>
  </si>
  <si>
    <t>REXDALE COMMUNITY HEALTH CENTRE</t>
  </si>
  <si>
    <t>REXDALE</t>
  </si>
  <si>
    <t>4350</t>
  </si>
  <si>
    <t>99867</t>
  </si>
  <si>
    <t>RICHVIEW COMMUNITY CARE SERVICES CORPORATION</t>
  </si>
  <si>
    <t>RICHVIEW</t>
  </si>
  <si>
    <t>4379</t>
  </si>
  <si>
    <t>103438</t>
  </si>
  <si>
    <t>ROOTS COMMUNITY SERVICES INC</t>
  </si>
  <si>
    <t>ROOTS</t>
  </si>
  <si>
    <t>2051</t>
  </si>
  <si>
    <t>598163</t>
  </si>
  <si>
    <t>SERVICES AND HOUSING IN THE PROVINCE</t>
  </si>
  <si>
    <t>SHIP</t>
  </si>
  <si>
    <t>8017</t>
  </si>
  <si>
    <t>356087</t>
  </si>
  <si>
    <t>WELLFORT COMMUNITY HEALTH SERVICES</t>
  </si>
  <si>
    <t>WELLFORT</t>
  </si>
  <si>
    <t>951</t>
  </si>
  <si>
    <t>7587</t>
  </si>
  <si>
    <t>WILLIAM OSLER HEALTH SYSTEM</t>
  </si>
  <si>
    <t>WOHS</t>
  </si>
  <si>
    <t>MH</t>
  </si>
  <si>
    <t>4085</t>
  </si>
  <si>
    <t>299074</t>
  </si>
  <si>
    <t>ACCLAIM HEALTH AND COMMUNITY CARE SERVICES</t>
  </si>
  <si>
    <t>Acclaim</t>
  </si>
  <si>
    <t>4607</t>
  </si>
  <si>
    <t>382</t>
  </si>
  <si>
    <t>351258</t>
  </si>
  <si>
    <t>CANADIAN MENTAL HEALTH ASSOCIATION - HALTON BRANCH</t>
  </si>
  <si>
    <t>CMHA HALTON</t>
  </si>
  <si>
    <t>CANES MH</t>
  </si>
  <si>
    <t>4371</t>
  </si>
  <si>
    <t>269</t>
  </si>
  <si>
    <t>CITY OF MISSISSAUGA</t>
  </si>
  <si>
    <t>CoMiss</t>
  </si>
  <si>
    <t>4616</t>
  </si>
  <si>
    <t>4284</t>
  </si>
  <si>
    <t>54743</t>
  </si>
  <si>
    <t>DIXIE BLOOR NEIGHBOURHOOD DROP-IN CENTRE</t>
  </si>
  <si>
    <t>DBNDC</t>
  </si>
  <si>
    <t>4050</t>
  </si>
  <si>
    <t>102880</t>
  </si>
  <si>
    <t>DOROTHY LEY HOSPICE INC</t>
  </si>
  <si>
    <t>DOROTHY</t>
  </si>
  <si>
    <t>587</t>
  </si>
  <si>
    <t>103727</t>
  </si>
  <si>
    <t>HALTON ALCOHOL DRUG &amp; GAMBLING ASSESSMENT PREVENTION TREATMENT - ADAPT</t>
  </si>
  <si>
    <t>ADAPT</t>
  </si>
  <si>
    <t>950</t>
  </si>
  <si>
    <t>995</t>
  </si>
  <si>
    <t>Halton Healthcare Services Corp</t>
  </si>
  <si>
    <t>HHSC</t>
  </si>
  <si>
    <t>4030</t>
  </si>
  <si>
    <t>103730</t>
  </si>
  <si>
    <t>HEARTHOUSE HOSPICE INC</t>
  </si>
  <si>
    <t>HEARTHOUSE</t>
  </si>
  <si>
    <t>525</t>
  </si>
  <si>
    <t>100668</t>
  </si>
  <si>
    <t>HOPE PLACE CENTRES</t>
  </si>
  <si>
    <t>HOPE PLACE</t>
  </si>
  <si>
    <t>4316</t>
  </si>
  <si>
    <t>40581</t>
  </si>
  <si>
    <t>IVAN FRANKO HOMES</t>
  </si>
  <si>
    <t>IVAN FH</t>
  </si>
  <si>
    <t>4318</t>
  </si>
  <si>
    <t>41517</t>
  </si>
  <si>
    <t>JOYCE SCOTT NON-PROFIT HOMES INC</t>
  </si>
  <si>
    <t>JS NPH</t>
  </si>
  <si>
    <t>7735</t>
  </si>
  <si>
    <t>LAKESHORE AREA MULTI-SERVICES PROJECT INC (LAMP)</t>
  </si>
  <si>
    <t>LAMP</t>
  </si>
  <si>
    <t>4320</t>
  </si>
  <si>
    <t>280458</t>
  </si>
  <si>
    <t>LINKS2CARE</t>
  </si>
  <si>
    <t>L2C</t>
  </si>
  <si>
    <t>4169</t>
  </si>
  <si>
    <t>4328</t>
  </si>
  <si>
    <t>100410</t>
  </si>
  <si>
    <t>MICBA FORUM ITALIA COMMUNITY SERVICES</t>
  </si>
  <si>
    <t>MICB</t>
  </si>
  <si>
    <t>4434</t>
  </si>
  <si>
    <t>100413</t>
  </si>
  <si>
    <t>MILTON MEALS ON WHEELS</t>
  </si>
  <si>
    <t>MILTON MOW</t>
  </si>
  <si>
    <t>4162</t>
  </si>
  <si>
    <t>100290</t>
  </si>
  <si>
    <t>MIND FORWARD BRAIN INJURY SERVICES ONTARIO</t>
  </si>
  <si>
    <t>MINDFOWARD</t>
  </si>
  <si>
    <t>8069</t>
  </si>
  <si>
    <t>625765</t>
  </si>
  <si>
    <t>MISSISSAUGA INTEGRATED CARE CENTRE</t>
  </si>
  <si>
    <t>MICC</t>
  </si>
  <si>
    <t>4149</t>
  </si>
  <si>
    <t>100384</t>
  </si>
  <si>
    <t>NUCLEUS INDEPENDENT LIVING</t>
  </si>
  <si>
    <t>NUCLEUS</t>
  </si>
  <si>
    <t>4341</t>
  </si>
  <si>
    <t>100387</t>
  </si>
  <si>
    <t>OAKVILLE SENIOR CITIZENS RESIDENCE</t>
  </si>
  <si>
    <t>OSCR</t>
  </si>
  <si>
    <t>552</t>
  </si>
  <si>
    <t>103565</t>
  </si>
  <si>
    <t>PEEL ADDICTION ASSESSMENT &amp; REFERRAL CENTRE (PAARC)</t>
  </si>
  <si>
    <t>PAARC</t>
  </si>
  <si>
    <t>4346</t>
  </si>
  <si>
    <t>42263</t>
  </si>
  <si>
    <t>PEEL CHESHIRE HOMES INC</t>
  </si>
  <si>
    <t>PCH</t>
  </si>
  <si>
    <t>PSL</t>
  </si>
  <si>
    <t>474</t>
  </si>
  <si>
    <t>304</t>
  </si>
  <si>
    <t>REGIONAL MUNICIPALITY OF HALTON</t>
  </si>
  <si>
    <t>RMoH</t>
  </si>
  <si>
    <t>4178</t>
  </si>
  <si>
    <t>100014</t>
  </si>
  <si>
    <t>SENIORS LIFE ENHANCEMENT CENTRES</t>
  </si>
  <si>
    <t>SLEC</t>
  </si>
  <si>
    <t>426</t>
  </si>
  <si>
    <t>99851</t>
  </si>
  <si>
    <t>SUMMIT HOUSING &amp; OUTREACH PROGRAMS</t>
  </si>
  <si>
    <t>SUMMIT</t>
  </si>
  <si>
    <t>405</t>
  </si>
  <si>
    <t>43888</t>
  </si>
  <si>
    <t>SUPPORT &amp; HOUSING - HALTON</t>
  </si>
  <si>
    <t>SUPPORT HOUSE</t>
  </si>
  <si>
    <t>408</t>
  </si>
  <si>
    <t>104189</t>
  </si>
  <si>
    <t>SUPPORTED TRAINING &amp; REHABILITATION IN DIVERSE ENVIRONMENTS (STRIDE)</t>
  </si>
  <si>
    <t>STRIDE</t>
  </si>
  <si>
    <t>4046</t>
  </si>
  <si>
    <t>101280</t>
  </si>
  <si>
    <t>THE ARTHRITIS SOCIETY</t>
  </si>
  <si>
    <t>AS</t>
  </si>
  <si>
    <t>4440</t>
  </si>
  <si>
    <t>318</t>
  </si>
  <si>
    <t>TOWN OF HALTON HILLS</t>
  </si>
  <si>
    <t>TOHH</t>
  </si>
  <si>
    <t>975</t>
  </si>
  <si>
    <t>461996</t>
  </si>
  <si>
    <t>TRILLIUM HEALTH PARTNERS</t>
  </si>
  <si>
    <t>THP</t>
  </si>
  <si>
    <t>4633</t>
  </si>
  <si>
    <t>407496</t>
  </si>
  <si>
    <t>VICTORIAN ORDER OF NURSES FOR CANADA - ONTARIO BRANCH</t>
  </si>
  <si>
    <t>VON</t>
  </si>
  <si>
    <t>4849</t>
  </si>
  <si>
    <t>639376</t>
  </si>
  <si>
    <t>VISION LOSS REHABILITATION CANADA</t>
  </si>
  <si>
    <t>VLR</t>
  </si>
  <si>
    <t>Yee Hong Centre for Geriatric Care - Mississauga</t>
  </si>
  <si>
    <t>YH-Mississauga</t>
  </si>
  <si>
    <t>NSM</t>
  </si>
  <si>
    <t>101255</t>
  </si>
  <si>
    <t>Alzheimer Society Of Muskoka</t>
  </si>
  <si>
    <t>ALZ-M</t>
  </si>
  <si>
    <t>103005</t>
  </si>
  <si>
    <t>Alzheimer Society of Simcoe County</t>
  </si>
  <si>
    <t>ALZ-SC</t>
  </si>
  <si>
    <t>72561</t>
  </si>
  <si>
    <t>Barrie Area Native Advisory Circle</t>
  </si>
  <si>
    <t>BANAC</t>
  </si>
  <si>
    <t>81277</t>
  </si>
  <si>
    <t>Barrie Community Health Centre</t>
  </si>
  <si>
    <t>BCHC</t>
  </si>
  <si>
    <t>21532</t>
  </si>
  <si>
    <t>Beausoleil First Nation</t>
  </si>
  <si>
    <t>BFN</t>
  </si>
  <si>
    <t>72572</t>
  </si>
  <si>
    <t>Brain Injury Services of Simcoe County Inc.</t>
  </si>
  <si>
    <t>BISS</t>
  </si>
  <si>
    <t>52873</t>
  </si>
  <si>
    <t>Breaking Down Barriers - An Independent Living Centre Inc.</t>
  </si>
  <si>
    <t>BDB</t>
  </si>
  <si>
    <t>54948</t>
  </si>
  <si>
    <t>Canadian Mental Health Association, Muskoka-Parry Sound Branch</t>
  </si>
  <si>
    <t>CMHA-MPS</t>
  </si>
  <si>
    <t>74119</t>
  </si>
  <si>
    <t>Canadian Mental Health Association, Simcoe County Branch</t>
  </si>
  <si>
    <t>CMHA-SC</t>
  </si>
  <si>
    <t>7756</t>
  </si>
  <si>
    <t>Canadian Red Cross Society</t>
  </si>
  <si>
    <t>CRC</t>
  </si>
  <si>
    <t>332670</t>
  </si>
  <si>
    <t>Centre de santé communautaire CHIGAMIK Community Health Centre Inc.</t>
  </si>
  <si>
    <t>Chigamik</t>
  </si>
  <si>
    <t>58524</t>
  </si>
  <si>
    <t>Chippewas of Rama First Nation</t>
  </si>
  <si>
    <t xml:space="preserve">Chippewas   </t>
  </si>
  <si>
    <t>81225</t>
  </si>
  <si>
    <t>Collingwood General and Marine Hospital</t>
  </si>
  <si>
    <t>CGMH</t>
  </si>
  <si>
    <t>260722</t>
  </si>
  <si>
    <t>Deaf Access Simcoe-Muskoka Inc.</t>
  </si>
  <si>
    <t>Deaf_Access</t>
  </si>
  <si>
    <t>55836</t>
  </si>
  <si>
    <t>Enaahtig Healing Lodge and Learning Centre</t>
  </si>
  <si>
    <t>Enaahtig</t>
  </si>
  <si>
    <t>72632</t>
  </si>
  <si>
    <t>Gravenhurst Senior Citizens Club Inc.</t>
  </si>
  <si>
    <t>Gravenhurst_SRS</t>
  </si>
  <si>
    <t>102711</t>
  </si>
  <si>
    <t xml:space="preserve">Grove Park Home for Senior Citizens </t>
  </si>
  <si>
    <t>Grove_Park</t>
  </si>
  <si>
    <t>100655</t>
  </si>
  <si>
    <t>Helping Hands, Orillia</t>
  </si>
  <si>
    <t>HHands</t>
  </si>
  <si>
    <t>100676</t>
  </si>
  <si>
    <t>Hospice Georgian Triangle</t>
  </si>
  <si>
    <t>Hospice_GT</t>
  </si>
  <si>
    <t>100677</t>
  </si>
  <si>
    <t>Hospice Huronia</t>
  </si>
  <si>
    <t>Hospice_Huronia</t>
  </si>
  <si>
    <t>124371</t>
  </si>
  <si>
    <t>Hospice Simcoe</t>
  </si>
  <si>
    <t>Hospice_Simcoe</t>
  </si>
  <si>
    <t>100689</t>
  </si>
  <si>
    <t>Huntsville Meals On Wheels Inc.</t>
  </si>
  <si>
    <t>Huntsville_MO</t>
  </si>
  <si>
    <t>52907</t>
  </si>
  <si>
    <t>Huronia Transition Homes</t>
  </si>
  <si>
    <t>HTH</t>
  </si>
  <si>
    <t>43558</t>
  </si>
  <si>
    <t>Independent Living Services Simcoe County</t>
  </si>
  <si>
    <t>ILSSC</t>
  </si>
  <si>
    <t>100696</t>
  </si>
  <si>
    <t>IOOF Senior Citizen Homes Inc.</t>
  </si>
  <si>
    <t>IOOF</t>
  </si>
  <si>
    <t>LOFT Community Services</t>
  </si>
  <si>
    <t>March of Dimes Canada</t>
  </si>
  <si>
    <t>MODC</t>
  </si>
  <si>
    <t>21946</t>
  </si>
  <si>
    <t>Moose Deer Point First Nation</t>
  </si>
  <si>
    <t>MDPFN</t>
  </si>
  <si>
    <t>100441</t>
  </si>
  <si>
    <t>Muskoka Seniors Home Assistance</t>
  </si>
  <si>
    <t>Muskoka_SRS</t>
  </si>
  <si>
    <t>524594</t>
  </si>
  <si>
    <t>North Simcoe Muskoka Hospice Palliative Care Network</t>
  </si>
  <si>
    <t>NSMHPCN</t>
  </si>
  <si>
    <t>7585</t>
  </si>
  <si>
    <t>Orillia Soldiers' Memorial Hospital</t>
  </si>
  <si>
    <t>OSMH</t>
  </si>
  <si>
    <t>7751</t>
  </si>
  <si>
    <t>Royal Victoria Regional Health Centre</t>
  </si>
  <si>
    <t>RVH</t>
  </si>
  <si>
    <t>99973</t>
  </si>
  <si>
    <t>Seven South Street Treatment Centre</t>
  </si>
  <si>
    <t>Seven_South_Street</t>
  </si>
  <si>
    <t>103257</t>
  </si>
  <si>
    <t xml:space="preserve">Simcoe Peer Support for Mental Health &amp; Addictions </t>
  </si>
  <si>
    <t>SPSMHA</t>
  </si>
  <si>
    <t>332667</t>
  </si>
  <si>
    <t>South Georgian Bay Community Health Centre</t>
  </si>
  <si>
    <t>SGBCHC</t>
  </si>
  <si>
    <t>252</t>
  </si>
  <si>
    <t>The Corporation of the County of Simcoe</t>
  </si>
  <si>
    <t>County_of_Simcoe</t>
  </si>
  <si>
    <t>Victorian Order of Nurses for Canada-Ontario Branch, Simcoe County</t>
  </si>
  <si>
    <t>Vision Loss Rehabilitation Canada</t>
  </si>
  <si>
    <t>VLRC</t>
  </si>
  <si>
    <t>26244</t>
  </si>
  <si>
    <t>Wahta Mohawks</t>
  </si>
  <si>
    <t>Wahta_Mohawks</t>
  </si>
  <si>
    <t>370600</t>
  </si>
  <si>
    <t>Waypoint Centre for Mental Health Care</t>
  </si>
  <si>
    <t>WP</t>
  </si>
  <si>
    <t>99473</t>
  </si>
  <si>
    <t>Wendat Community Programs</t>
  </si>
  <si>
    <t>WENDAT</t>
  </si>
  <si>
    <t>Please submit this completed form by email to OH-Central.Reporting@OntarioHealth.ca with the subject line “Forecast Year-End Surplus for In-Year Reallocation Requests and Recovery."  Requests must be received by March 1 of the current fiscal year.</t>
  </si>
  <si>
    <t>Home Care - Ontario Health Managed</t>
  </si>
  <si>
    <t>2024-25 Forecasted Surplus ($)</t>
  </si>
  <si>
    <t>Staff vacancy</t>
  </si>
  <si>
    <r>
      <t xml:space="preserve">Instructions: </t>
    </r>
    <r>
      <rPr>
        <sz val="11"/>
        <rFont val="Calibri"/>
        <family val="2"/>
        <scheme val="minor"/>
      </rPr>
      <t xml:space="preserve">Use the summary chart below to identify the surplus funds available for additional services or purchases of $50,000 or more for equipment and/or $25,000 or more for leasehold improvements and renovations. </t>
    </r>
    <r>
      <rPr>
        <b/>
        <sz val="11"/>
        <color theme="8"/>
        <rFont val="Calibri"/>
        <family val="2"/>
        <scheme val="minor"/>
      </rPr>
      <t>[1]</t>
    </r>
  </si>
  <si>
    <r>
      <rPr>
        <b/>
        <sz val="11"/>
        <color theme="1"/>
        <rFont val="Calibri"/>
        <family val="2"/>
        <scheme val="minor"/>
      </rPr>
      <t>Instructions: Step 1</t>
    </r>
    <r>
      <rPr>
        <sz val="11"/>
        <color theme="1"/>
        <rFont val="Calibri"/>
        <family val="2"/>
        <scheme val="minor"/>
      </rPr>
      <t xml:space="preserve"> - Use the chart below to identify additional services or purchases of $50,000 or more for equipment and/or $25,000 or more for leasehold improvements and renovations, including rationale and any additional service volumes by identifying as a "Request."</t>
    </r>
  </si>
  <si>
    <t>Please complete all fields for each line with data.</t>
  </si>
  <si>
    <t xml:space="preserve">[1] Community Financial Policy (2023), Section 4.4 – In-Year Reallocations: “HSPs need to ensure accurate fiscal forecasts in the quarterly reports to OH or the ministry.  Confirmed forecasts of un-spent OH or ministry funding may be recovered within the fiscal year and reallocated to address one-time financial pressures in other HSPs.” </t>
  </si>
  <si>
    <r>
      <rPr>
        <b/>
        <sz val="11"/>
        <color theme="8"/>
        <rFont val="Calibri"/>
        <family val="2"/>
        <scheme val="minor"/>
      </rPr>
      <t>[1]</t>
    </r>
    <r>
      <rPr>
        <sz val="11"/>
        <rFont val="Calibri"/>
        <family val="2"/>
        <scheme val="minor"/>
      </rPr>
      <t xml:space="preserve"> Approval Required for Purchases of $25,000 or More: Community Financial Policy Section 1.0, Requirement #5 &amp; #6, HSPs are required to seek Ontario Health approval in writing for any purchases over $50,000 for equipment and $25,000 for leasehold investments and renovations.or more.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</si>
</sst>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_);_(&quot;$&quot;* \(#,##0\);"/>
    <numFmt numFmtId="167" formatCode="_(&quot;$&quot;* #,##0_);[Red]_(&quot;$&quot;* \(#,##0\);_(&quot;$&quot;* &quot;-&quot;_);_(@_)"/>
  </numFmts>
  <fonts count="28" x14ac:knownFonts="1">
    <font>
      <sz val="11"/>
      <color theme="1"/>
      <name val="Calibri"/>
      <family val="2"/>
      <scheme val="minor"/>
    </font>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1"/>
      <name val="Calibri"/>
      <family val="2"/>
      <scheme val="minor"/>
    </font>
    <font>
      <u/>
      <sz val="11"/>
      <color theme="10"/>
      <name val="Calibri"/>
      <family val="2"/>
      <scheme val="minor"/>
    </font>
    <font>
      <sz val="11"/>
      <name val="Calibri"/>
      <family val="2"/>
      <scheme val="minor"/>
    </font>
    <font>
      <b/>
      <sz val="11"/>
      <name val="Calibri"/>
      <family val="2"/>
      <scheme val="minor"/>
    </font>
    <font>
      <sz val="11"/>
      <color rgb="FFFF0000"/>
      <name val="Calibri"/>
      <family val="2"/>
      <scheme val="minor"/>
    </font>
    <font>
      <b/>
      <u/>
      <sz val="11"/>
      <color theme="10"/>
      <name val="Calibri"/>
      <family val="2"/>
      <scheme val="minor"/>
    </font>
    <font>
      <b/>
      <sz val="13"/>
      <name val="Calibri"/>
      <family val="2"/>
      <scheme val="minor"/>
    </font>
    <font>
      <b/>
      <sz val="11"/>
      <color theme="8"/>
      <name val="Calibri"/>
      <family val="2"/>
      <scheme val="minor"/>
    </font>
    <font>
      <sz val="11"/>
      <color theme="0"/>
      <name val="Calibri"/>
      <family val="2"/>
      <scheme val="minor"/>
    </font>
    <font>
      <b/>
      <sz val="16"/>
      <name val="Calibri"/>
      <family val="2"/>
      <scheme val="minor"/>
    </font>
    <font>
      <b/>
      <sz val="16"/>
      <color theme="1"/>
      <name val="Calibri"/>
      <family val="2"/>
      <scheme val="minor"/>
    </font>
    <font>
      <b/>
      <sz val="16"/>
      <color theme="8"/>
      <name val="Calibri"/>
      <family val="2"/>
      <scheme val="minor"/>
    </font>
    <font>
      <sz val="10"/>
      <color theme="1"/>
      <name val="Calibri"/>
      <family val="2"/>
      <scheme val="minor"/>
    </font>
    <font>
      <sz val="11"/>
      <color theme="1"/>
      <name val="Arial"/>
      <family val="2"/>
    </font>
    <font>
      <b/>
      <sz val="11"/>
      <color theme="1"/>
      <name val="Arial"/>
      <family val="2"/>
    </font>
    <font>
      <sz val="11"/>
      <color rgb="FF000000"/>
      <name val="Arial"/>
      <family val="2"/>
    </font>
    <font>
      <sz val="10"/>
      <color theme="1"/>
      <name val="Arial"/>
      <family val="2"/>
    </font>
    <font>
      <b/>
      <sz val="11"/>
      <color theme="0"/>
      <name val="Calibri"/>
      <family val="2"/>
      <scheme val="minor"/>
    </font>
    <font>
      <vertAlign val="superscript"/>
      <sz val="11"/>
      <color theme="1"/>
      <name val="Arial"/>
      <family val="2"/>
    </font>
    <font>
      <sz val="8"/>
      <name val="Calibri"/>
      <family val="2"/>
      <scheme val="minor"/>
    </font>
    <font>
      <b/>
      <u/>
      <sz val="11"/>
      <color theme="1"/>
      <name val="Arial"/>
      <family val="2"/>
    </font>
    <font>
      <b/>
      <i/>
      <sz val="11"/>
      <color theme="1"/>
      <name val="Arial"/>
      <family val="2"/>
    </font>
    <font>
      <b/>
      <u/>
      <sz val="11"/>
      <color theme="0"/>
      <name val="Calibri"/>
      <family val="2"/>
      <scheme val="minor"/>
    </font>
  </fonts>
  <fills count="23">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9999FF"/>
        <bgColor indexed="64"/>
      </patternFill>
    </fill>
    <fill>
      <patternFill patternType="solid">
        <fgColor theme="9"/>
        <bgColor indexed="64"/>
      </patternFill>
    </fill>
    <fill>
      <patternFill patternType="solid">
        <fgColor theme="0" tint="-0.249977111117893"/>
        <bgColor theme="6"/>
      </patternFill>
    </fill>
    <fill>
      <patternFill patternType="solid">
        <fgColor theme="8"/>
        <bgColor indexed="64"/>
      </patternFill>
    </fill>
    <fill>
      <patternFill patternType="solid">
        <fgColor rgb="FFFF0000"/>
        <bgColor indexed="64"/>
      </patternFill>
    </fill>
    <fill>
      <patternFill patternType="solid">
        <fgColor rgb="FFC00000"/>
        <bgColor indexed="64"/>
      </patternFill>
    </fill>
    <fill>
      <patternFill patternType="solid">
        <fgColor rgb="FFFFCCCC"/>
        <bgColor indexed="64"/>
      </patternFill>
    </fill>
    <fill>
      <patternFill patternType="solid">
        <fgColor theme="0" tint="-0.14999847407452621"/>
        <bgColor theme="0" tint="-0.14999847407452621"/>
      </patternFill>
    </fill>
    <fill>
      <patternFill patternType="solid">
        <fgColor theme="7" tint="0.59999389629810485"/>
        <bgColor theme="6"/>
      </patternFill>
    </fill>
    <fill>
      <patternFill patternType="solid">
        <fgColor theme="9" tint="0.39997558519241921"/>
        <bgColor theme="6"/>
      </patternFill>
    </fill>
    <fill>
      <patternFill patternType="solid">
        <fgColor rgb="FFFFCCCC"/>
        <bgColor theme="6"/>
      </patternFill>
    </fill>
    <fill>
      <patternFill patternType="solid">
        <fgColor theme="0" tint="-0.34998626667073579"/>
        <bgColor indexed="64"/>
      </patternFill>
    </fill>
  </fills>
  <borders count="70">
    <border>
      <left/>
      <right/>
      <top/>
      <bottom/>
      <diagonal/>
    </border>
    <border>
      <left/>
      <right/>
      <top/>
      <bottom style="thick">
        <color theme="4"/>
      </bottom>
      <diagonal/>
    </border>
    <border>
      <left/>
      <right/>
      <top/>
      <bottom style="thick">
        <color theme="4" tint="0.499984740745262"/>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ck">
        <color theme="4" tint="0.499984740745262"/>
      </top>
      <bottom/>
      <diagonal/>
    </border>
    <border>
      <left/>
      <right/>
      <top style="thin">
        <color indexed="64"/>
      </top>
      <bottom style="thin">
        <color indexed="64"/>
      </bottom>
      <diagonal/>
    </border>
    <border>
      <left/>
      <right style="medium">
        <color indexed="64"/>
      </right>
      <top/>
      <bottom/>
      <diagonal/>
    </border>
    <border>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auto="1"/>
      </left>
      <right style="medium">
        <color indexed="64"/>
      </right>
      <top style="medium">
        <color indexed="64"/>
      </top>
      <bottom/>
      <diagonal/>
    </border>
    <border>
      <left style="medium">
        <color indexed="64"/>
      </left>
      <right style="medium">
        <color indexed="64"/>
      </right>
      <top/>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theme="1"/>
      </left>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auto="1"/>
      </bottom>
      <diagonal/>
    </border>
    <border>
      <left style="medium">
        <color theme="5"/>
      </left>
      <right style="medium">
        <color theme="5"/>
      </right>
      <top/>
      <bottom style="medium">
        <color indexed="64"/>
      </bottom>
      <diagonal/>
    </border>
    <border>
      <left style="thin">
        <color theme="1"/>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theme="5"/>
      </left>
      <right style="medium">
        <color indexed="64"/>
      </right>
      <top style="medium">
        <color indexed="64"/>
      </top>
      <bottom style="thin">
        <color indexed="64"/>
      </bottom>
      <diagonal/>
    </border>
    <border>
      <left style="medium">
        <color theme="5"/>
      </left>
      <right style="medium">
        <color indexed="64"/>
      </right>
      <top style="thin">
        <color indexed="64"/>
      </top>
      <bottom style="thin">
        <color indexed="64"/>
      </bottom>
      <diagonal/>
    </border>
    <border>
      <left style="medium">
        <color theme="5"/>
      </left>
      <right style="medium">
        <color indexed="64"/>
      </right>
      <top style="thin">
        <color indexed="64"/>
      </top>
      <bottom style="medium">
        <color indexed="64"/>
      </bottom>
      <diagonal/>
    </border>
    <border>
      <left style="medium">
        <color theme="5"/>
      </left>
      <right style="medium">
        <color theme="5"/>
      </right>
      <top/>
      <bottom/>
      <diagonal/>
    </border>
  </borders>
  <cellStyleXfs count="6">
    <xf numFmtId="0" fontId="0" fillId="0" borderId="0"/>
    <xf numFmtId="44" fontId="2" fillId="0" borderId="0" applyFon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6" fillId="0" borderId="0" applyNumberFormat="0" applyFill="0" applyBorder="0" applyAlignment="0" applyProtection="0"/>
    <xf numFmtId="43" fontId="2" fillId="0" borderId="0" applyFont="0" applyFill="0" applyBorder="0" applyAlignment="0" applyProtection="0"/>
  </cellStyleXfs>
  <cellXfs count="315">
    <xf numFmtId="0" fontId="0" fillId="0" borderId="0" xfId="0"/>
    <xf numFmtId="0" fontId="5" fillId="0" borderId="0" xfId="0" applyFont="1"/>
    <xf numFmtId="0" fontId="0" fillId="0" borderId="0" xfId="0" applyAlignment="1">
      <alignment vertical="center"/>
    </xf>
    <xf numFmtId="0" fontId="0" fillId="0" borderId="0" xfId="0" applyAlignment="1">
      <alignment horizontal="left" vertical="center" indent="15"/>
    </xf>
    <xf numFmtId="0" fontId="3" fillId="0" borderId="1" xfId="2"/>
    <xf numFmtId="0" fontId="5" fillId="0" borderId="0" xfId="0" applyFont="1" applyAlignment="1">
      <alignment vertical="center"/>
    </xf>
    <xf numFmtId="0" fontId="0" fillId="0" borderId="8" xfId="0" applyBorder="1"/>
    <xf numFmtId="0" fontId="0" fillId="0" borderId="10" xfId="0" applyBorder="1"/>
    <xf numFmtId="0" fontId="0" fillId="0" borderId="11" xfId="0" applyBorder="1"/>
    <xf numFmtId="0" fontId="0" fillId="0" borderId="0" xfId="0" applyAlignment="1">
      <alignment horizontal="left" wrapText="1"/>
    </xf>
    <xf numFmtId="0" fontId="7" fillId="0" borderId="0" xfId="0" applyFont="1" applyAlignment="1">
      <alignment horizontal="center" vertical="center"/>
    </xf>
    <xf numFmtId="0" fontId="0" fillId="0" borderId="0" xfId="0" applyAlignment="1">
      <alignment horizontal="center" vertic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5" xfId="0" applyBorder="1" applyAlignment="1">
      <alignment horizontal="center" vertical="center"/>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0" fillId="0" borderId="8" xfId="0" applyBorder="1" applyAlignment="1" applyProtection="1">
      <alignment horizontal="center" vertical="center" wrapText="1"/>
      <protection locked="0"/>
    </xf>
    <xf numFmtId="0" fontId="0" fillId="0" borderId="0" xfId="0" applyAlignment="1">
      <alignment horizontal="right"/>
    </xf>
    <xf numFmtId="0" fontId="9" fillId="0" borderId="0" xfId="0" applyFont="1" applyAlignment="1">
      <alignment horizontal="left" wrapText="1"/>
    </xf>
    <xf numFmtId="164" fontId="0" fillId="0" borderId="0" xfId="1" applyNumberFormat="1" applyFont="1"/>
    <xf numFmtId="0" fontId="11" fillId="0" borderId="2" xfId="3" applyFont="1"/>
    <xf numFmtId="0" fontId="7" fillId="0" borderId="0" xfId="4" applyFont="1" applyAlignment="1">
      <alignment vertical="center"/>
    </xf>
    <xf numFmtId="0" fontId="0" fillId="0" borderId="7" xfId="0" applyBorder="1" applyProtection="1">
      <protection locked="0"/>
    </xf>
    <xf numFmtId="0" fontId="0" fillId="0" borderId="12" xfId="0" applyBorder="1" applyProtection="1">
      <protection locked="0"/>
    </xf>
    <xf numFmtId="0" fontId="0" fillId="0" borderId="14" xfId="0" applyBorder="1" applyProtection="1">
      <protection locked="0"/>
    </xf>
    <xf numFmtId="0" fontId="7" fillId="0" borderId="0" xfId="0" applyFont="1" applyAlignment="1">
      <alignment horizontal="left" wrapText="1"/>
    </xf>
    <xf numFmtId="0" fontId="5" fillId="4" borderId="33"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0" fillId="0" borderId="0" xfId="0" applyAlignment="1">
      <alignment textRotation="90"/>
    </xf>
    <xf numFmtId="0" fontId="0" fillId="0" borderId="0" xfId="0" applyAlignment="1">
      <alignment horizontal="center"/>
    </xf>
    <xf numFmtId="0" fontId="0" fillId="0" borderId="0" xfId="1" applyNumberFormat="1" applyFont="1" applyFill="1"/>
    <xf numFmtId="0" fontId="7" fillId="0" borderId="0" xfId="0" applyFont="1"/>
    <xf numFmtId="0" fontId="0" fillId="0" borderId="10" xfId="0" applyBorder="1" applyAlignment="1" applyProtection="1">
      <alignment horizontal="center" vertical="center" wrapText="1"/>
      <protection locked="0"/>
    </xf>
    <xf numFmtId="0" fontId="0" fillId="8" borderId="0" xfId="0" applyFill="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center" vertical="center" wrapText="1"/>
    </xf>
    <xf numFmtId="0" fontId="8" fillId="0" borderId="39" xfId="0" applyFont="1" applyBorder="1" applyAlignment="1">
      <alignment horizontal="center" vertical="center" wrapText="1"/>
    </xf>
    <xf numFmtId="0" fontId="0" fillId="0" borderId="21" xfId="0" applyBorder="1" applyAlignment="1">
      <alignment horizontal="center" vertical="center"/>
    </xf>
    <xf numFmtId="165" fontId="0" fillId="0" borderId="0" xfId="5" applyNumberFormat="1" applyFont="1"/>
    <xf numFmtId="0" fontId="0" fillId="0" borderId="11" xfId="0" applyBorder="1" applyAlignment="1" applyProtection="1">
      <alignment horizontal="center" vertical="center" wrapText="1"/>
      <protection locked="0"/>
    </xf>
    <xf numFmtId="0" fontId="8" fillId="0" borderId="32" xfId="0" applyFont="1" applyBorder="1" applyAlignment="1">
      <alignment horizontal="center" vertical="center" wrapText="1"/>
    </xf>
    <xf numFmtId="165" fontId="0" fillId="0" borderId="9" xfId="5" applyNumberFormat="1" applyFont="1" applyBorder="1" applyAlignment="1" applyProtection="1">
      <alignment vertical="center"/>
      <protection locked="0"/>
    </xf>
    <xf numFmtId="165" fontId="0" fillId="0" borderId="7" xfId="5" applyNumberFormat="1" applyFont="1" applyBorder="1" applyAlignment="1" applyProtection="1">
      <alignment vertical="center"/>
      <protection locked="0"/>
    </xf>
    <xf numFmtId="165" fontId="0" fillId="0" borderId="12" xfId="5" applyNumberFormat="1" applyFont="1" applyBorder="1" applyAlignment="1" applyProtection="1">
      <alignment vertical="center"/>
      <protection locked="0"/>
    </xf>
    <xf numFmtId="0" fontId="13" fillId="10" borderId="0" xfId="0" applyFont="1" applyFill="1" applyAlignment="1">
      <alignment horizontal="center" vertical="center"/>
    </xf>
    <xf numFmtId="43" fontId="0" fillId="0" borderId="8" xfId="5" applyFont="1" applyBorder="1" applyAlignment="1" applyProtection="1">
      <alignment vertical="center"/>
      <protection locked="0"/>
    </xf>
    <xf numFmtId="165" fontId="0" fillId="0" borderId="16" xfId="5" applyNumberFormat="1" applyFont="1" applyBorder="1" applyAlignment="1" applyProtection="1">
      <alignment vertical="center"/>
      <protection locked="0"/>
    </xf>
    <xf numFmtId="43" fontId="0" fillId="0" borderId="10" xfId="5" applyFont="1" applyBorder="1" applyAlignment="1" applyProtection="1">
      <alignment vertical="center"/>
      <protection locked="0"/>
    </xf>
    <xf numFmtId="165" fontId="0" fillId="0" borderId="6" xfId="5" applyNumberFormat="1" applyFont="1" applyBorder="1" applyAlignment="1" applyProtection="1">
      <alignment vertical="center"/>
      <protection locked="0"/>
    </xf>
    <xf numFmtId="43" fontId="0" fillId="0" borderId="44" xfId="5" applyFont="1" applyBorder="1" applyAlignment="1" applyProtection="1">
      <alignment vertical="center"/>
      <protection locked="0"/>
    </xf>
    <xf numFmtId="165" fontId="0" fillId="0" borderId="44" xfId="5" applyNumberFormat="1" applyFont="1" applyBorder="1" applyAlignment="1" applyProtection="1">
      <alignment vertical="center"/>
      <protection locked="0"/>
    </xf>
    <xf numFmtId="165" fontId="0" fillId="0" borderId="43" xfId="5" applyNumberFormat="1" applyFont="1" applyBorder="1" applyAlignment="1" applyProtection="1">
      <alignment vertical="center"/>
      <protection locked="0"/>
    </xf>
    <xf numFmtId="43" fontId="0" fillId="0" borderId="6" xfId="5" applyFont="1" applyBorder="1" applyAlignment="1" applyProtection="1">
      <alignment vertical="center"/>
      <protection locked="0"/>
    </xf>
    <xf numFmtId="165" fontId="0" fillId="0" borderId="17" xfId="5" applyNumberFormat="1" applyFont="1" applyBorder="1" applyAlignment="1" applyProtection="1">
      <alignment vertical="center"/>
      <protection locked="0"/>
    </xf>
    <xf numFmtId="0" fontId="7" fillId="0" borderId="0" xfId="0" applyFont="1" applyAlignment="1">
      <alignment horizontal="left" vertical="top"/>
    </xf>
    <xf numFmtId="0" fontId="0" fillId="6" borderId="35" xfId="0" applyFill="1" applyBorder="1" applyAlignment="1">
      <alignment horizontal="center" vertical="center" wrapText="1"/>
    </xf>
    <xf numFmtId="164" fontId="0" fillId="0" borderId="44" xfId="1" applyNumberFormat="1" applyFont="1" applyBorder="1" applyAlignment="1">
      <alignment vertical="center"/>
    </xf>
    <xf numFmtId="164" fontId="0" fillId="0" borderId="6" xfId="1" applyNumberFormat="1" applyFont="1" applyBorder="1" applyAlignment="1">
      <alignment vertical="center"/>
    </xf>
    <xf numFmtId="165" fontId="0" fillId="10" borderId="0" xfId="5" applyNumberFormat="1" applyFont="1" applyFill="1" applyBorder="1" applyProtection="1"/>
    <xf numFmtId="0" fontId="18" fillId="0" borderId="0" xfId="0" applyFont="1" applyAlignment="1">
      <alignment vertical="center"/>
    </xf>
    <xf numFmtId="0" fontId="5" fillId="9" borderId="18" xfId="0" applyFont="1" applyFill="1" applyBorder="1" applyAlignment="1">
      <alignment horizontal="center" vertical="center" wrapText="1"/>
    </xf>
    <xf numFmtId="164" fontId="5" fillId="9" borderId="15" xfId="0" applyNumberFormat="1" applyFont="1" applyFill="1" applyBorder="1" applyAlignment="1">
      <alignment vertical="center" wrapText="1"/>
    </xf>
    <xf numFmtId="43" fontId="0" fillId="0" borderId="11" xfId="5" applyFont="1" applyBorder="1" applyAlignment="1" applyProtection="1">
      <alignment vertical="center"/>
      <protection locked="0"/>
    </xf>
    <xf numFmtId="164" fontId="0" fillId="4" borderId="25" xfId="0" applyNumberFormat="1" applyFill="1" applyBorder="1" applyAlignment="1">
      <alignment vertical="center" wrapText="1"/>
    </xf>
    <xf numFmtId="43" fontId="0" fillId="4" borderId="18" xfId="0" applyNumberFormat="1" applyFill="1" applyBorder="1" applyAlignment="1">
      <alignment vertical="center" wrapText="1"/>
    </xf>
    <xf numFmtId="43" fontId="0" fillId="4" borderId="19" xfId="0" applyNumberFormat="1" applyFill="1" applyBorder="1" applyAlignment="1">
      <alignment vertical="center" wrapText="1"/>
    </xf>
    <xf numFmtId="0" fontId="0" fillId="5" borderId="17" xfId="0" applyFill="1" applyBorder="1"/>
    <xf numFmtId="0" fontId="0" fillId="5" borderId="11" xfId="0" applyFill="1" applyBorder="1" applyAlignment="1">
      <alignment horizontal="center" vertical="center"/>
    </xf>
    <xf numFmtId="0" fontId="0" fillId="5" borderId="16" xfId="0" applyFill="1" applyBorder="1"/>
    <xf numFmtId="0" fontId="0" fillId="5" borderId="9" xfId="0" applyFill="1" applyBorder="1"/>
    <xf numFmtId="0" fontId="0" fillId="5" borderId="12" xfId="0" applyFill="1" applyBorder="1"/>
    <xf numFmtId="167" fontId="0" fillId="5" borderId="28" xfId="0" applyNumberFormat="1" applyFill="1" applyBorder="1"/>
    <xf numFmtId="0" fontId="0" fillId="5" borderId="17" xfId="0" applyFill="1" applyBorder="1" applyAlignment="1">
      <alignment horizontal="center"/>
    </xf>
    <xf numFmtId="0" fontId="0" fillId="5" borderId="45" xfId="0" applyFill="1" applyBorder="1" applyAlignment="1">
      <alignment horizontal="center" vertical="center"/>
    </xf>
    <xf numFmtId="0" fontId="0" fillId="5" borderId="44" xfId="0" applyFill="1" applyBorder="1" applyAlignment="1">
      <alignment horizontal="center"/>
    </xf>
    <xf numFmtId="0" fontId="0" fillId="5" borderId="44" xfId="0" applyFill="1" applyBorder="1"/>
    <xf numFmtId="167" fontId="0" fillId="5" borderId="49" xfId="0" applyNumberFormat="1" applyFill="1" applyBorder="1"/>
    <xf numFmtId="0" fontId="0" fillId="6" borderId="0" xfId="0" applyFill="1" applyAlignment="1">
      <alignment horizontal="center" vertical="center" wrapText="1"/>
    </xf>
    <xf numFmtId="0" fontId="5" fillId="4" borderId="0" xfId="0" applyFont="1" applyFill="1" applyAlignment="1">
      <alignment horizontal="center" vertical="center" wrapText="1"/>
    </xf>
    <xf numFmtId="0" fontId="5" fillId="4" borderId="21" xfId="0" applyFont="1" applyFill="1" applyBorder="1" applyAlignment="1">
      <alignment horizontal="center" vertical="center" wrapText="1"/>
    </xf>
    <xf numFmtId="43" fontId="0" fillId="5" borderId="8" xfId="5" applyFont="1" applyFill="1" applyBorder="1" applyAlignment="1"/>
    <xf numFmtId="43" fontId="0" fillId="5" borderId="11" xfId="5" applyFont="1" applyFill="1" applyBorder="1" applyAlignment="1"/>
    <xf numFmtId="0" fontId="3" fillId="0" borderId="1" xfId="2" applyAlignment="1">
      <alignment vertical="center"/>
    </xf>
    <xf numFmtId="0" fontId="4" fillId="0" borderId="2" xfId="3" applyAlignment="1">
      <alignment vertical="center"/>
    </xf>
    <xf numFmtId="0" fontId="3" fillId="0" borderId="0" xfId="2" applyBorder="1" applyAlignment="1">
      <alignment vertical="center"/>
    </xf>
    <xf numFmtId="0" fontId="4" fillId="0" borderId="0" xfId="3" applyBorder="1" applyAlignment="1">
      <alignment vertical="center"/>
    </xf>
    <xf numFmtId="0" fontId="0" fillId="7" borderId="20" xfId="0" applyFill="1" applyBorder="1" applyAlignment="1">
      <alignment horizontal="center" vertical="center"/>
    </xf>
    <xf numFmtId="0" fontId="0" fillId="7" borderId="21" xfId="0" applyFill="1" applyBorder="1" applyAlignment="1">
      <alignment horizontal="center" vertical="center"/>
    </xf>
    <xf numFmtId="0" fontId="0" fillId="7" borderId="21" xfId="0" applyFill="1" applyBorder="1" applyAlignment="1">
      <alignment horizontal="center" vertical="center" wrapText="1"/>
    </xf>
    <xf numFmtId="0" fontId="0" fillId="7" borderId="47" xfId="0" applyFill="1" applyBorder="1" applyAlignment="1">
      <alignment horizontal="center" vertical="center" wrapText="1"/>
    </xf>
    <xf numFmtId="0" fontId="20" fillId="0" borderId="0" xfId="0" applyFont="1" applyAlignment="1">
      <alignment vertical="center" wrapText="1"/>
    </xf>
    <xf numFmtId="0" fontId="20" fillId="0" borderId="0" xfId="0" applyFont="1" applyAlignment="1">
      <alignment vertical="center"/>
    </xf>
    <xf numFmtId="164" fontId="0" fillId="3" borderId="25" xfId="1" applyNumberFormat="1" applyFont="1" applyFill="1" applyBorder="1" applyAlignment="1">
      <alignment vertical="center" wrapText="1"/>
    </xf>
    <xf numFmtId="0" fontId="7" fillId="11" borderId="42" xfId="0" applyFont="1" applyFill="1" applyBorder="1" applyAlignment="1">
      <alignment horizontal="center" vertical="center" wrapText="1"/>
    </xf>
    <xf numFmtId="0" fontId="8" fillId="11" borderId="48" xfId="0" applyFont="1" applyFill="1" applyBorder="1" applyAlignment="1">
      <alignment horizontal="center" vertical="center" wrapText="1"/>
    </xf>
    <xf numFmtId="0" fontId="5" fillId="9" borderId="15" xfId="0" applyFont="1" applyFill="1" applyBorder="1" applyAlignment="1">
      <alignment horizontal="center" vertical="center" wrapText="1"/>
    </xf>
    <xf numFmtId="0" fontId="8" fillId="9" borderId="19" xfId="0" applyFont="1" applyFill="1" applyBorder="1" applyAlignment="1">
      <alignment horizontal="center" vertical="center" wrapText="1"/>
    </xf>
    <xf numFmtId="0" fontId="5" fillId="4" borderId="51" xfId="0" applyFont="1" applyFill="1" applyBorder="1" applyAlignment="1">
      <alignment horizontal="center" vertical="center" wrapText="1"/>
    </xf>
    <xf numFmtId="166" fontId="0" fillId="0" borderId="6" xfId="1" applyNumberFormat="1" applyFont="1" applyBorder="1" applyAlignment="1">
      <alignment vertical="center"/>
    </xf>
    <xf numFmtId="0" fontId="0" fillId="0" borderId="8" xfId="0" applyBorder="1" applyAlignment="1">
      <alignment horizontal="center" vertical="center" wrapText="1"/>
    </xf>
    <xf numFmtId="166" fontId="0" fillId="0" borderId="16" xfId="1" applyNumberFormat="1" applyFont="1" applyBorder="1" applyAlignment="1">
      <alignment vertical="center"/>
    </xf>
    <xf numFmtId="0" fontId="0" fillId="0" borderId="10" xfId="0" applyBorder="1" applyAlignment="1">
      <alignment horizontal="center" vertical="center" wrapText="1"/>
    </xf>
    <xf numFmtId="166" fontId="0" fillId="0" borderId="17" xfId="1" applyNumberFormat="1" applyFont="1" applyBorder="1" applyAlignment="1">
      <alignment vertical="center"/>
    </xf>
    <xf numFmtId="0" fontId="0" fillId="0" borderId="11" xfId="0" applyBorder="1" applyAlignment="1">
      <alignment horizontal="center" vertical="center" wrapText="1"/>
    </xf>
    <xf numFmtId="12" fontId="0" fillId="0" borderId="10" xfId="5" applyNumberFormat="1" applyFont="1" applyBorder="1" applyAlignment="1" applyProtection="1">
      <alignment vertical="center"/>
      <protection locked="0"/>
    </xf>
    <xf numFmtId="0" fontId="18" fillId="0" borderId="0" xfId="0" applyFont="1" applyAlignment="1">
      <alignment vertical="center" wrapText="1"/>
    </xf>
    <xf numFmtId="0" fontId="3" fillId="2" borderId="1" xfId="2" applyFill="1" applyAlignment="1">
      <alignment horizontal="center"/>
    </xf>
    <xf numFmtId="0" fontId="0" fillId="8" borderId="0" xfId="0" applyFill="1"/>
    <xf numFmtId="0" fontId="5" fillId="4" borderId="41"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5" fillId="9" borderId="19" xfId="0" applyFont="1" applyFill="1" applyBorder="1" applyAlignment="1">
      <alignment horizontal="center" vertical="center" wrapText="1"/>
    </xf>
    <xf numFmtId="0" fontId="7" fillId="11" borderId="36" xfId="0" applyFont="1" applyFill="1" applyBorder="1" applyAlignment="1">
      <alignment horizontal="center" vertical="center" wrapText="1"/>
    </xf>
    <xf numFmtId="0" fontId="5" fillId="4" borderId="52" xfId="0" applyFont="1" applyFill="1" applyBorder="1" applyAlignment="1">
      <alignment horizontal="center" vertical="center" wrapText="1"/>
    </xf>
    <xf numFmtId="166" fontId="5" fillId="4" borderId="53" xfId="0" applyNumberFormat="1" applyFont="1" applyFill="1" applyBorder="1" applyAlignment="1">
      <alignment vertical="center"/>
    </xf>
    <xf numFmtId="164" fontId="5" fillId="4" borderId="54" xfId="0" applyNumberFormat="1" applyFont="1" applyFill="1" applyBorder="1" applyAlignment="1">
      <alignment vertical="center"/>
    </xf>
    <xf numFmtId="166" fontId="5" fillId="4" borderId="55" xfId="0" applyNumberFormat="1" applyFont="1" applyFill="1" applyBorder="1" applyAlignment="1">
      <alignment vertical="center"/>
    </xf>
    <xf numFmtId="166" fontId="5" fillId="0" borderId="9" xfId="1" applyNumberFormat="1" applyFont="1" applyBorder="1" applyAlignment="1">
      <alignment vertical="center"/>
    </xf>
    <xf numFmtId="166" fontId="5" fillId="0" borderId="7" xfId="1" applyNumberFormat="1" applyFont="1" applyBorder="1" applyAlignment="1">
      <alignment vertical="center"/>
    </xf>
    <xf numFmtId="166" fontId="5" fillId="0" borderId="12" xfId="1" applyNumberFormat="1" applyFont="1" applyBorder="1" applyAlignment="1">
      <alignment vertical="center"/>
    </xf>
    <xf numFmtId="0" fontId="19" fillId="0" borderId="0" xfId="0" applyFont="1" applyAlignment="1">
      <alignment vertical="center"/>
    </xf>
    <xf numFmtId="0" fontId="0" fillId="3" borderId="25" xfId="0" applyFill="1" applyBorder="1" applyAlignment="1">
      <alignment vertical="center" wrapText="1"/>
    </xf>
    <xf numFmtId="0" fontId="8" fillId="0" borderId="29" xfId="3" applyFont="1" applyBorder="1" applyAlignment="1">
      <alignment vertical="center" wrapText="1"/>
    </xf>
    <xf numFmtId="0" fontId="8" fillId="0" borderId="0" xfId="3" applyFont="1" applyBorder="1" applyAlignment="1">
      <alignment vertical="center" wrapText="1"/>
    </xf>
    <xf numFmtId="0" fontId="8" fillId="8" borderId="29" xfId="3" applyFont="1" applyFill="1" applyBorder="1"/>
    <xf numFmtId="0" fontId="0" fillId="0" borderId="0" xfId="0" applyAlignment="1">
      <alignment vertical="center" wrapText="1"/>
    </xf>
    <xf numFmtId="164" fontId="0" fillId="0" borderId="0" xfId="1" applyNumberFormat="1" applyFont="1" applyFill="1" applyBorder="1" applyAlignment="1">
      <alignment vertical="center" wrapText="1"/>
    </xf>
    <xf numFmtId="0" fontId="0" fillId="3" borderId="18" xfId="0" applyFill="1" applyBorder="1" applyAlignment="1">
      <alignment horizontal="center" vertical="center" wrapText="1"/>
    </xf>
    <xf numFmtId="164" fontId="0" fillId="3" borderId="15" xfId="1" applyNumberFormat="1" applyFont="1" applyFill="1" applyBorder="1" applyAlignment="1">
      <alignment vertical="center" wrapText="1"/>
    </xf>
    <xf numFmtId="0" fontId="0" fillId="0" borderId="16" xfId="0" applyBorder="1" applyAlignment="1" applyProtection="1">
      <alignment horizontal="center" vertical="center" wrapText="1"/>
      <protection locked="0"/>
    </xf>
    <xf numFmtId="164" fontId="0" fillId="0" borderId="9" xfId="1" applyNumberFormat="1" applyFont="1" applyFill="1" applyBorder="1" applyAlignment="1" applyProtection="1">
      <alignment vertical="center" wrapText="1"/>
      <protection locked="0"/>
    </xf>
    <xf numFmtId="0" fontId="0" fillId="0" borderId="6" xfId="0" applyBorder="1" applyAlignment="1" applyProtection="1">
      <alignment horizontal="center" vertical="center" wrapText="1"/>
      <protection locked="0"/>
    </xf>
    <xf numFmtId="164" fontId="0" fillId="0" borderId="7" xfId="1" applyNumberFormat="1" applyFont="1" applyFill="1" applyBorder="1" applyAlignment="1" applyProtection="1">
      <alignment vertical="center" wrapText="1"/>
      <protection locked="0"/>
    </xf>
    <xf numFmtId="0" fontId="0" fillId="0" borderId="6" xfId="0" applyBorder="1" applyAlignment="1" applyProtection="1">
      <alignment horizontal="center" vertical="center"/>
      <protection locked="0"/>
    </xf>
    <xf numFmtId="164" fontId="0" fillId="0" borderId="7" xfId="1" applyNumberFormat="1" applyFont="1" applyFill="1" applyBorder="1" applyProtection="1">
      <protection locked="0"/>
    </xf>
    <xf numFmtId="0" fontId="0" fillId="0" borderId="17" xfId="0" applyBorder="1" applyAlignment="1" applyProtection="1">
      <alignment horizontal="center" vertical="center"/>
      <protection locked="0"/>
    </xf>
    <xf numFmtId="164" fontId="0" fillId="0" borderId="12" xfId="1" applyNumberFormat="1" applyFont="1" applyFill="1" applyBorder="1" applyProtection="1">
      <protection locked="0"/>
    </xf>
    <xf numFmtId="0" fontId="13" fillId="0" borderId="0" xfId="0" applyFont="1"/>
    <xf numFmtId="0" fontId="7" fillId="11" borderId="57" xfId="0" applyFont="1" applyFill="1" applyBorder="1" applyAlignment="1">
      <alignment horizontal="center" vertical="center" wrapText="1"/>
    </xf>
    <xf numFmtId="0" fontId="8" fillId="13" borderId="18" xfId="0" applyFont="1" applyFill="1" applyBorder="1" applyAlignment="1">
      <alignment horizontal="center" vertical="center" wrapText="1"/>
    </xf>
    <xf numFmtId="0" fontId="8" fillId="19" borderId="19" xfId="0" applyFont="1" applyFill="1" applyBorder="1" applyAlignment="1">
      <alignment horizontal="center" vertical="center" wrapText="1"/>
    </xf>
    <xf numFmtId="0" fontId="8" fillId="20" borderId="19" xfId="0" applyFont="1" applyFill="1" applyBorder="1" applyAlignment="1">
      <alignment horizontal="center" vertical="center" wrapText="1"/>
    </xf>
    <xf numFmtId="0" fontId="8" fillId="21" borderId="15" xfId="0" applyFont="1" applyFill="1" applyBorder="1" applyAlignment="1">
      <alignment horizontal="center" vertical="center" wrapText="1"/>
    </xf>
    <xf numFmtId="0" fontId="8" fillId="0" borderId="0" xfId="3" applyFont="1" applyFill="1" applyBorder="1" applyAlignment="1">
      <alignment horizontal="left" vertical="top" wrapText="1"/>
    </xf>
    <xf numFmtId="0" fontId="8" fillId="0" borderId="0" xfId="3" applyFont="1" applyFill="1" applyBorder="1" applyAlignment="1">
      <alignment vertical="center" wrapText="1"/>
    </xf>
    <xf numFmtId="0" fontId="0" fillId="0" borderId="0" xfId="0" applyAlignment="1">
      <alignment vertical="top" wrapText="1"/>
    </xf>
    <xf numFmtId="0" fontId="5" fillId="6" borderId="19" xfId="0" applyFont="1" applyFill="1" applyBorder="1" applyAlignment="1">
      <alignment horizontal="center" vertical="center" wrapText="1"/>
    </xf>
    <xf numFmtId="0" fontId="8" fillId="6" borderId="19"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0" fillId="0" borderId="0" xfId="0" applyAlignment="1">
      <alignment horizontal="left" vertical="top" wrapText="1"/>
    </xf>
    <xf numFmtId="167" fontId="0" fillId="0" borderId="0" xfId="0" applyNumberFormat="1"/>
    <xf numFmtId="0" fontId="0" fillId="0" borderId="6" xfId="0" applyBorder="1" applyAlignment="1">
      <alignment horizontal="center"/>
    </xf>
    <xf numFmtId="0" fontId="5" fillId="0" borderId="0" xfId="0" applyFont="1" applyAlignment="1">
      <alignment horizontal="center"/>
    </xf>
    <xf numFmtId="165" fontId="0" fillId="0" borderId="0" xfId="5" applyNumberFormat="1" applyFont="1" applyBorder="1" applyAlignment="1" applyProtection="1">
      <alignment vertical="center"/>
      <protection locked="0"/>
    </xf>
    <xf numFmtId="0" fontId="0" fillId="4" borderId="21" xfId="0" applyFill="1" applyBorder="1" applyAlignment="1">
      <alignment vertical="center" wrapText="1"/>
    </xf>
    <xf numFmtId="0" fontId="7" fillId="0" borderId="52" xfId="0" applyFont="1" applyBorder="1" applyAlignment="1">
      <alignment horizontal="center" vertical="center"/>
    </xf>
    <xf numFmtId="0" fontId="5" fillId="22" borderId="18" xfId="0" applyFont="1" applyFill="1" applyBorder="1" applyAlignment="1">
      <alignment horizontal="center" vertical="center" wrapText="1"/>
    </xf>
    <xf numFmtId="0" fontId="5" fillId="22" borderId="19" xfId="0" applyFont="1" applyFill="1" applyBorder="1" applyAlignment="1">
      <alignment horizontal="center" vertical="center" wrapText="1"/>
    </xf>
    <xf numFmtId="0" fontId="5" fillId="22" borderId="15" xfId="0" applyFont="1" applyFill="1" applyBorder="1" applyAlignment="1">
      <alignment horizontal="center" vertical="center" wrapText="1"/>
    </xf>
    <xf numFmtId="164" fontId="0" fillId="0" borderId="0" xfId="1" applyNumberFormat="1" applyFont="1" applyBorder="1" applyAlignment="1">
      <alignment vertical="center"/>
    </xf>
    <xf numFmtId="164" fontId="0" fillId="0" borderId="0" xfId="1" applyNumberFormat="1" applyFont="1" applyFill="1" applyBorder="1" applyAlignment="1">
      <alignment horizontal="right" vertical="center"/>
    </xf>
    <xf numFmtId="43" fontId="0" fillId="0" borderId="0" xfId="5" applyFont="1" applyBorder="1" applyAlignment="1" applyProtection="1">
      <alignment vertical="center"/>
      <protection locked="0"/>
    </xf>
    <xf numFmtId="164" fontId="0" fillId="0" borderId="58" xfId="1" applyNumberFormat="1" applyFont="1" applyBorder="1" applyAlignment="1">
      <alignment vertical="center"/>
    </xf>
    <xf numFmtId="43" fontId="0" fillId="0" borderId="58" xfId="5" applyFont="1" applyBorder="1" applyAlignment="1" applyProtection="1">
      <alignment vertical="center"/>
      <protection locked="0"/>
    </xf>
    <xf numFmtId="165" fontId="0" fillId="0" borderId="58" xfId="5" applyNumberFormat="1" applyFont="1" applyBorder="1" applyAlignment="1" applyProtection="1">
      <alignment vertical="center"/>
      <protection locked="0"/>
    </xf>
    <xf numFmtId="0" fontId="0" fillId="0" borderId="45" xfId="0" applyBorder="1" applyAlignment="1">
      <alignment horizontal="center" vertical="center"/>
    </xf>
    <xf numFmtId="164" fontId="0" fillId="0" borderId="44" xfId="1" applyNumberFormat="1" applyFont="1" applyFill="1" applyBorder="1" applyAlignment="1">
      <alignment horizontal="right" vertical="center"/>
    </xf>
    <xf numFmtId="0" fontId="0" fillId="0" borderId="10" xfId="0" applyBorder="1" applyAlignment="1">
      <alignment horizontal="center" vertical="center"/>
    </xf>
    <xf numFmtId="164" fontId="0" fillId="0" borderId="6" xfId="1" applyNumberFormat="1" applyFont="1" applyFill="1" applyBorder="1" applyAlignment="1">
      <alignment horizontal="right" vertical="center"/>
    </xf>
    <xf numFmtId="0" fontId="0" fillId="0" borderId="13" xfId="0" applyBorder="1" applyAlignment="1">
      <alignment horizontal="center" vertical="center"/>
    </xf>
    <xf numFmtId="164" fontId="0" fillId="0" borderId="58" xfId="1" applyNumberFormat="1" applyFont="1" applyFill="1" applyBorder="1" applyAlignment="1">
      <alignment horizontal="right" vertical="center"/>
    </xf>
    <xf numFmtId="164" fontId="0" fillId="0" borderId="44" xfId="1" applyNumberFormat="1" applyFont="1" applyBorder="1" applyAlignment="1">
      <alignment horizontal="left" vertical="center" wrapText="1"/>
    </xf>
    <xf numFmtId="164" fontId="0" fillId="0" borderId="6" xfId="1" applyNumberFormat="1" applyFont="1" applyBorder="1" applyAlignment="1">
      <alignment horizontal="left" vertical="center" wrapText="1"/>
    </xf>
    <xf numFmtId="164" fontId="0" fillId="0" borderId="58" xfId="1" applyNumberFormat="1" applyFont="1" applyBorder="1" applyAlignment="1">
      <alignment horizontal="left" vertical="center" wrapText="1"/>
    </xf>
    <xf numFmtId="43" fontId="0" fillId="0" borderId="0" xfId="5" applyFont="1" applyFill="1" applyBorder="1" applyAlignment="1"/>
    <xf numFmtId="43" fontId="0" fillId="5" borderId="17" xfId="5" applyFont="1" applyFill="1" applyBorder="1" applyAlignment="1">
      <alignment vertical="center" wrapText="1"/>
    </xf>
    <xf numFmtId="0" fontId="0" fillId="5" borderId="17" xfId="0" applyFill="1" applyBorder="1" applyAlignment="1">
      <alignment vertical="center" wrapText="1"/>
    </xf>
    <xf numFmtId="0" fontId="0" fillId="5" borderId="12" xfId="0" applyFill="1" applyBorder="1" applyAlignment="1">
      <alignment vertical="center" wrapText="1"/>
    </xf>
    <xf numFmtId="0" fontId="13" fillId="10" borderId="0" xfId="0" applyFont="1" applyFill="1" applyAlignment="1" applyProtection="1">
      <alignment horizontal="center" vertical="center"/>
      <protection locked="0"/>
    </xf>
    <xf numFmtId="164" fontId="0" fillId="22" borderId="19" xfId="0" applyNumberFormat="1" applyFill="1" applyBorder="1" applyAlignment="1">
      <alignment vertical="center"/>
    </xf>
    <xf numFmtId="164" fontId="5" fillId="16" borderId="18" xfId="1" applyNumberFormat="1" applyFont="1" applyFill="1" applyBorder="1" applyAlignment="1">
      <alignment vertical="center" wrapText="1"/>
    </xf>
    <xf numFmtId="164" fontId="5" fillId="16" borderId="19" xfId="1" applyNumberFormat="1" applyFont="1" applyFill="1" applyBorder="1" applyAlignment="1">
      <alignment vertical="center" wrapText="1"/>
    </xf>
    <xf numFmtId="164" fontId="5" fillId="16" borderId="15" xfId="1" applyNumberFormat="1" applyFont="1" applyFill="1" applyBorder="1" applyAlignment="1">
      <alignment vertical="center" wrapText="1"/>
    </xf>
    <xf numFmtId="0" fontId="0" fillId="22" borderId="19" xfId="0" applyFill="1" applyBorder="1" applyAlignment="1" applyProtection="1">
      <alignment vertical="center"/>
      <protection locked="0"/>
    </xf>
    <xf numFmtId="0" fontId="0" fillId="22" borderId="5" xfId="0" applyFill="1" applyBorder="1" applyAlignment="1" applyProtection="1">
      <alignment horizontal="center" vertical="center"/>
      <protection locked="0"/>
    </xf>
    <xf numFmtId="0" fontId="0" fillId="22" borderId="19" xfId="0" applyFill="1" applyBorder="1" applyAlignment="1">
      <alignment vertical="center"/>
    </xf>
    <xf numFmtId="0" fontId="0" fillId="22" borderId="19" xfId="0" applyFill="1" applyBorder="1" applyAlignment="1">
      <alignment horizontal="right" vertical="center"/>
    </xf>
    <xf numFmtId="0" fontId="0" fillId="22" borderId="15" xfId="0" applyFill="1" applyBorder="1" applyAlignment="1" applyProtection="1">
      <alignment vertical="center"/>
      <protection locked="0"/>
    </xf>
    <xf numFmtId="43" fontId="0" fillId="10" borderId="0" xfId="0" applyNumberFormat="1" applyFill="1" applyAlignment="1" applyProtection="1">
      <alignment horizontal="center" vertical="center"/>
      <protection locked="0"/>
    </xf>
    <xf numFmtId="0" fontId="7" fillId="0" borderId="31" xfId="0" applyFont="1" applyBorder="1" applyAlignment="1">
      <alignment horizontal="center" vertical="center"/>
    </xf>
    <xf numFmtId="0" fontId="7" fillId="0" borderId="0" xfId="5" applyNumberFormat="1" applyFont="1" applyFill="1" applyBorder="1" applyAlignment="1" applyProtection="1">
      <alignment horizontal="center" vertical="center"/>
    </xf>
    <xf numFmtId="0" fontId="7" fillId="0" borderId="31" xfId="5" applyNumberFormat="1" applyFont="1" applyFill="1" applyBorder="1" applyAlignment="1" applyProtection="1">
      <alignment horizontal="center" vertical="center"/>
    </xf>
    <xf numFmtId="0" fontId="0" fillId="8" borderId="4" xfId="0" applyFill="1" applyBorder="1" applyAlignment="1">
      <alignment horizontal="center" vertical="center" wrapText="1"/>
    </xf>
    <xf numFmtId="165" fontId="0" fillId="0" borderId="59" xfId="5" applyNumberFormat="1" applyFont="1" applyBorder="1" applyAlignment="1" applyProtection="1">
      <alignment vertical="center"/>
      <protection locked="0"/>
    </xf>
    <xf numFmtId="164" fontId="0" fillId="0" borderId="8" xfId="1" applyNumberFormat="1" applyFont="1" applyBorder="1" applyAlignment="1" applyProtection="1">
      <alignment vertical="center" wrapText="1"/>
    </xf>
    <xf numFmtId="165" fontId="0" fillId="0" borderId="16" xfId="5" applyNumberFormat="1" applyFont="1" applyBorder="1" applyAlignment="1" applyProtection="1">
      <alignment vertical="center"/>
    </xf>
    <xf numFmtId="164" fontId="0" fillId="0" borderId="10" xfId="1" applyNumberFormat="1" applyFont="1" applyBorder="1" applyAlignment="1" applyProtection="1">
      <alignment vertical="center" wrapText="1"/>
    </xf>
    <xf numFmtId="165" fontId="0" fillId="0" borderId="6" xfId="5" applyNumberFormat="1" applyFont="1" applyBorder="1" applyAlignment="1" applyProtection="1">
      <alignment vertical="center"/>
    </xf>
    <xf numFmtId="164" fontId="0" fillId="0" borderId="10" xfId="1" applyNumberFormat="1" applyFont="1" applyBorder="1" applyProtection="1"/>
    <xf numFmtId="164" fontId="0" fillId="0" borderId="11" xfId="1" applyNumberFormat="1" applyFont="1" applyBorder="1" applyProtection="1"/>
    <xf numFmtId="165" fontId="0" fillId="0" borderId="17" xfId="5" applyNumberFormat="1" applyFont="1" applyBorder="1" applyAlignment="1" applyProtection="1">
      <alignment vertical="center"/>
    </xf>
    <xf numFmtId="0" fontId="0" fillId="0" borderId="0" xfId="5" applyNumberFormat="1" applyFont="1" applyFill="1" applyBorder="1" applyAlignment="1">
      <alignment horizontal="center"/>
    </xf>
    <xf numFmtId="164" fontId="0" fillId="22" borderId="19" xfId="0" applyNumberFormat="1" applyFill="1" applyBorder="1" applyAlignment="1">
      <alignment horizontal="right" vertical="center"/>
    </xf>
    <xf numFmtId="0" fontId="0" fillId="5" borderId="11" xfId="0" applyFill="1" applyBorder="1" applyAlignment="1">
      <alignment horizontal="center" vertical="center" wrapText="1"/>
    </xf>
    <xf numFmtId="164" fontId="0" fillId="5" borderId="17" xfId="1" applyNumberFormat="1" applyFont="1" applyFill="1" applyBorder="1" applyAlignment="1">
      <alignment vertical="center" wrapText="1"/>
    </xf>
    <xf numFmtId="167" fontId="0" fillId="5" borderId="17" xfId="0" applyNumberFormat="1" applyFill="1" applyBorder="1" applyAlignment="1">
      <alignment vertical="center" wrapText="1"/>
    </xf>
    <xf numFmtId="165" fontId="0" fillId="0" borderId="44" xfId="5" applyNumberFormat="1" applyFont="1" applyBorder="1" applyAlignment="1" applyProtection="1">
      <alignment vertical="center"/>
    </xf>
    <xf numFmtId="165" fontId="0" fillId="0" borderId="58" xfId="5" applyNumberFormat="1" applyFont="1" applyBorder="1" applyAlignment="1" applyProtection="1">
      <alignment vertical="center"/>
    </xf>
    <xf numFmtId="43" fontId="0" fillId="0" borderId="0" xfId="5" applyFont="1" applyAlignment="1" applyProtection="1">
      <alignment vertical="center"/>
    </xf>
    <xf numFmtId="0" fontId="22" fillId="14" borderId="0" xfId="0" applyFont="1" applyFill="1" applyAlignment="1">
      <alignment horizontal="center"/>
    </xf>
    <xf numFmtId="164" fontId="0" fillId="0" borderId="0" xfId="0" applyNumberFormat="1"/>
    <xf numFmtId="0" fontId="10" fillId="6" borderId="18" xfId="4" applyFont="1" applyFill="1" applyBorder="1" applyAlignment="1" applyProtection="1">
      <alignment horizontal="center" vertical="center" wrapText="1"/>
    </xf>
    <xf numFmtId="0" fontId="3" fillId="0" borderId="0" xfId="2" applyBorder="1" applyAlignment="1">
      <alignment horizontal="center" vertical="center"/>
    </xf>
    <xf numFmtId="0" fontId="0" fillId="0" borderId="44" xfId="1" applyNumberFormat="1" applyFont="1" applyFill="1" applyBorder="1" applyAlignment="1" applyProtection="1">
      <alignment horizontal="right" vertical="center"/>
    </xf>
    <xf numFmtId="0" fontId="0" fillId="0" borderId="6" xfId="1" applyNumberFormat="1" applyFont="1" applyFill="1" applyBorder="1" applyAlignment="1" applyProtection="1">
      <alignment horizontal="right" vertical="center"/>
    </xf>
    <xf numFmtId="0" fontId="0" fillId="0" borderId="58" xfId="1" applyNumberFormat="1" applyFont="1" applyFill="1" applyBorder="1" applyAlignment="1" applyProtection="1">
      <alignment horizontal="right" vertical="center"/>
    </xf>
    <xf numFmtId="164" fontId="0" fillId="0" borderId="61" xfId="1" applyNumberFormat="1" applyFont="1" applyBorder="1" applyAlignment="1" applyProtection="1">
      <alignment vertical="center" wrapText="1"/>
    </xf>
    <xf numFmtId="164" fontId="0" fillId="0" borderId="62" xfId="1" applyNumberFormat="1" applyFont="1" applyBorder="1" applyAlignment="1" applyProtection="1">
      <alignment vertical="center" wrapText="1"/>
    </xf>
    <xf numFmtId="164" fontId="0" fillId="0" borderId="62" xfId="1" applyNumberFormat="1" applyFont="1" applyBorder="1" applyProtection="1"/>
    <xf numFmtId="164" fontId="0" fillId="0" borderId="63" xfId="1" applyNumberFormat="1" applyFont="1" applyBorder="1" applyProtection="1"/>
    <xf numFmtId="167" fontId="0" fillId="5" borderId="14" xfId="0" applyNumberFormat="1" applyFill="1" applyBorder="1"/>
    <xf numFmtId="167" fontId="0" fillId="5" borderId="64" xfId="0" applyNumberFormat="1" applyFill="1" applyBorder="1"/>
    <xf numFmtId="164" fontId="5" fillId="9" borderId="0" xfId="0" applyNumberFormat="1" applyFont="1" applyFill="1" applyAlignment="1">
      <alignment vertical="center" wrapText="1"/>
    </xf>
    <xf numFmtId="0" fontId="5" fillId="11" borderId="40" xfId="0" applyFont="1" applyFill="1" applyBorder="1" applyAlignment="1">
      <alignment horizontal="center" vertical="center" wrapText="1"/>
    </xf>
    <xf numFmtId="164" fontId="0" fillId="0" borderId="65" xfId="1" applyNumberFormat="1" applyFont="1" applyFill="1" applyBorder="1" applyAlignment="1" applyProtection="1">
      <alignment vertical="center" wrapText="1"/>
    </xf>
    <xf numFmtId="164" fontId="0" fillId="0" borderId="30" xfId="1" applyNumberFormat="1" applyFont="1" applyFill="1" applyBorder="1" applyAlignment="1" applyProtection="1">
      <alignment vertical="center" wrapText="1"/>
    </xf>
    <xf numFmtId="164" fontId="0" fillId="0" borderId="30" xfId="1" applyNumberFormat="1" applyFont="1" applyFill="1" applyBorder="1" applyProtection="1"/>
    <xf numFmtId="164" fontId="0" fillId="0" borderId="64" xfId="1" applyNumberFormat="1" applyFont="1" applyFill="1" applyBorder="1" applyProtection="1"/>
    <xf numFmtId="15" fontId="0" fillId="0" borderId="9" xfId="0" applyNumberFormat="1" applyBorder="1" applyProtection="1">
      <protection locked="0"/>
    </xf>
    <xf numFmtId="166" fontId="1" fillId="0" borderId="6" xfId="1" applyNumberFormat="1" applyFont="1" applyBorder="1" applyAlignment="1">
      <alignment vertical="center"/>
    </xf>
    <xf numFmtId="15" fontId="0" fillId="0" borderId="30" xfId="0" applyNumberFormat="1" applyBorder="1" applyProtection="1">
      <protection locked="0"/>
    </xf>
    <xf numFmtId="0" fontId="0" fillId="0" borderId="26" xfId="1" applyNumberFormat="1" applyFont="1" applyBorder="1" applyAlignment="1" applyProtection="1">
      <alignment horizontal="center" vertical="center" wrapText="1"/>
      <protection locked="0"/>
    </xf>
    <xf numFmtId="0" fontId="27" fillId="0" borderId="0" xfId="0" applyFont="1" applyAlignment="1" applyProtection="1">
      <alignment horizontal="center"/>
      <protection locked="0"/>
    </xf>
    <xf numFmtId="164" fontId="1" fillId="0" borderId="26" xfId="1" applyNumberFormat="1" applyFont="1" applyBorder="1" applyAlignment="1" applyProtection="1">
      <alignment horizontal="center" vertical="center" wrapText="1"/>
      <protection locked="0"/>
    </xf>
    <xf numFmtId="164" fontId="1" fillId="0" borderId="27" xfId="1" applyNumberFormat="1" applyFont="1" applyBorder="1" applyAlignment="1" applyProtection="1">
      <alignment horizontal="center" vertical="center" wrapText="1"/>
      <protection locked="0"/>
    </xf>
    <xf numFmtId="0" fontId="1" fillId="0" borderId="27" xfId="1" applyNumberFormat="1" applyFont="1" applyBorder="1" applyAlignment="1" applyProtection="1">
      <alignment horizontal="center" vertical="center" wrapText="1"/>
      <protection locked="0"/>
    </xf>
    <xf numFmtId="164" fontId="1" fillId="0" borderId="28" xfId="1" applyNumberFormat="1" applyFont="1" applyBorder="1" applyAlignment="1" applyProtection="1">
      <alignment horizontal="center" vertical="center" wrapText="1"/>
      <protection locked="0"/>
    </xf>
    <xf numFmtId="0" fontId="1" fillId="0" borderId="28" xfId="1" applyNumberFormat="1" applyFont="1" applyBorder="1" applyAlignment="1" applyProtection="1">
      <alignment horizontal="center" vertical="center" wrapText="1"/>
      <protection locked="0"/>
    </xf>
    <xf numFmtId="43" fontId="1" fillId="0" borderId="10" xfId="5" applyFont="1" applyBorder="1" applyAlignment="1" applyProtection="1">
      <alignment vertical="center"/>
      <protection locked="0"/>
    </xf>
    <xf numFmtId="165" fontId="1" fillId="0" borderId="6" xfId="5" applyNumberFormat="1" applyFont="1" applyBorder="1" applyAlignment="1" applyProtection="1">
      <alignment vertical="center"/>
      <protection locked="0"/>
    </xf>
    <xf numFmtId="0" fontId="1" fillId="10" borderId="0" xfId="0" applyFont="1" applyFill="1"/>
    <xf numFmtId="0" fontId="1" fillId="10" borderId="0" xfId="0" applyFont="1" applyFill="1" applyAlignment="1">
      <alignment vertical="center" wrapText="1"/>
    </xf>
    <xf numFmtId="0" fontId="3" fillId="0" borderId="1" xfId="2" applyAlignment="1"/>
    <xf numFmtId="0" fontId="18" fillId="0" borderId="0" xfId="0" applyFont="1" applyAlignment="1">
      <alignment vertical="center" wrapText="1"/>
    </xf>
    <xf numFmtId="0" fontId="21" fillId="0" borderId="0" xfId="0" applyFont="1" applyAlignment="1">
      <alignment vertical="center" wrapText="1"/>
    </xf>
    <xf numFmtId="0" fontId="3" fillId="0" borderId="1" xfId="2" applyFill="1" applyAlignment="1">
      <alignment horizontal="left"/>
    </xf>
    <xf numFmtId="0" fontId="7" fillId="8" borderId="0" xfId="3" applyFont="1" applyFill="1" applyBorder="1" applyAlignment="1">
      <alignment vertical="top" wrapText="1"/>
    </xf>
    <xf numFmtId="0" fontId="15" fillId="8" borderId="5" xfId="0" applyFont="1" applyFill="1" applyBorder="1" applyAlignment="1">
      <alignment horizontal="center" vertical="center" wrapText="1"/>
    </xf>
    <xf numFmtId="0" fontId="15" fillId="8" borderId="40" xfId="0" applyFont="1" applyFill="1" applyBorder="1" applyAlignment="1">
      <alignment horizontal="center" vertical="center" wrapText="1"/>
    </xf>
    <xf numFmtId="0" fontId="15" fillId="8" borderId="3" xfId="0" applyFont="1" applyFill="1" applyBorder="1" applyAlignment="1">
      <alignment horizontal="center" vertical="center" wrapText="1"/>
    </xf>
    <xf numFmtId="0" fontId="22" fillId="14" borderId="52" xfId="0" applyFont="1" applyFill="1" applyBorder="1" applyAlignment="1">
      <alignment horizontal="center"/>
    </xf>
    <xf numFmtId="0" fontId="22" fillId="14" borderId="32" xfId="0" applyFont="1" applyFill="1" applyBorder="1" applyAlignment="1">
      <alignment horizontal="center"/>
    </xf>
    <xf numFmtId="0" fontId="0" fillId="9" borderId="0" xfId="0" applyFill="1" applyAlignment="1">
      <alignment vertical="top" wrapText="1"/>
    </xf>
    <xf numFmtId="0" fontId="8" fillId="9" borderId="29" xfId="3" applyFont="1" applyFill="1" applyBorder="1" applyAlignment="1">
      <alignment horizontal="left" vertical="top" wrapText="1"/>
    </xf>
    <xf numFmtId="0" fontId="8" fillId="9" borderId="0" xfId="3" applyFont="1" applyFill="1" applyBorder="1" applyAlignment="1">
      <alignment horizontal="left" vertical="top" wrapText="1"/>
    </xf>
    <xf numFmtId="0" fontId="5" fillId="18" borderId="37" xfId="0" applyFont="1" applyFill="1" applyBorder="1" applyAlignment="1">
      <alignment horizontal="center" vertical="center" wrapText="1"/>
    </xf>
    <xf numFmtId="0" fontId="5" fillId="18" borderId="38" xfId="0" applyFont="1" applyFill="1" applyBorder="1" applyAlignment="1">
      <alignment horizontal="center" vertical="center" wrapText="1"/>
    </xf>
    <xf numFmtId="0" fontId="5" fillId="18" borderId="50" xfId="0" applyFont="1" applyFill="1" applyBorder="1" applyAlignment="1">
      <alignment horizontal="center" vertical="center" wrapText="1"/>
    </xf>
    <xf numFmtId="0" fontId="22" fillId="14" borderId="42" xfId="0" applyFont="1" applyFill="1" applyBorder="1" applyAlignment="1">
      <alignment horizontal="center"/>
    </xf>
    <xf numFmtId="0" fontId="22" fillId="14" borderId="0" xfId="0" applyFont="1" applyFill="1" applyAlignment="1">
      <alignment horizontal="center"/>
    </xf>
    <xf numFmtId="0" fontId="15" fillId="12" borderId="5" xfId="0" applyFont="1" applyFill="1" applyBorder="1" applyAlignment="1">
      <alignment horizontal="center" vertical="center" wrapText="1"/>
    </xf>
    <xf numFmtId="0" fontId="15" fillId="12" borderId="40" xfId="0" applyFont="1" applyFill="1" applyBorder="1" applyAlignment="1">
      <alignment horizontal="center" vertical="center" wrapText="1"/>
    </xf>
    <xf numFmtId="0" fontId="15" fillId="12" borderId="3" xfId="0" applyFont="1" applyFill="1" applyBorder="1" applyAlignment="1">
      <alignment horizontal="center" vertical="center" wrapText="1"/>
    </xf>
    <xf numFmtId="0" fontId="14" fillId="12" borderId="5" xfId="3" applyFont="1" applyFill="1" applyBorder="1" applyAlignment="1">
      <alignment horizontal="center"/>
    </xf>
    <xf numFmtId="0" fontId="14" fillId="12" borderId="40" xfId="3" applyFont="1" applyFill="1" applyBorder="1" applyAlignment="1">
      <alignment horizontal="center"/>
    </xf>
    <xf numFmtId="0" fontId="14" fillId="12" borderId="3" xfId="3" applyFont="1" applyFill="1" applyBorder="1" applyAlignment="1">
      <alignment horizontal="center"/>
    </xf>
    <xf numFmtId="0" fontId="4" fillId="0" borderId="2" xfId="3" applyAlignment="1">
      <alignment horizontal="left" vertical="center"/>
    </xf>
    <xf numFmtId="0" fontId="22" fillId="14" borderId="8" xfId="0" applyFont="1" applyFill="1" applyBorder="1" applyAlignment="1">
      <alignment horizontal="center"/>
    </xf>
    <xf numFmtId="0" fontId="22" fillId="14" borderId="16" xfId="0" applyFont="1" applyFill="1" applyBorder="1" applyAlignment="1">
      <alignment horizontal="center"/>
    </xf>
    <xf numFmtId="0" fontId="22" fillId="14" borderId="9" xfId="0" applyFont="1" applyFill="1" applyBorder="1" applyAlignment="1">
      <alignment horizontal="center"/>
    </xf>
    <xf numFmtId="0" fontId="5" fillId="17" borderId="21" xfId="0" applyFont="1" applyFill="1" applyBorder="1" applyAlignment="1">
      <alignment horizontal="center" vertical="center" wrapText="1"/>
    </xf>
    <xf numFmtId="0" fontId="5" fillId="17" borderId="33" xfId="0" applyFont="1" applyFill="1" applyBorder="1" applyAlignment="1">
      <alignment horizontal="center" vertical="center" wrapText="1"/>
    </xf>
    <xf numFmtId="0" fontId="5" fillId="17" borderId="39" xfId="0" applyFont="1" applyFill="1" applyBorder="1" applyAlignment="1">
      <alignment horizontal="center" vertical="center" wrapText="1"/>
    </xf>
    <xf numFmtId="0" fontId="15" fillId="15" borderId="40" xfId="0" applyFont="1" applyFill="1" applyBorder="1" applyAlignment="1">
      <alignment horizontal="center" vertical="center" wrapText="1"/>
    </xf>
    <xf numFmtId="0" fontId="15" fillId="15" borderId="3" xfId="0" applyFont="1" applyFill="1" applyBorder="1" applyAlignment="1">
      <alignment horizontal="center" vertical="center" wrapText="1"/>
    </xf>
    <xf numFmtId="0" fontId="14" fillId="15" borderId="37" xfId="3" applyFont="1" applyFill="1" applyBorder="1" applyAlignment="1">
      <alignment horizontal="center" vertical="center"/>
    </xf>
    <xf numFmtId="0" fontId="14" fillId="15" borderId="38" xfId="3" applyFont="1" applyFill="1" applyBorder="1" applyAlignment="1">
      <alignment horizontal="center" vertical="center"/>
    </xf>
    <xf numFmtId="0" fontId="5" fillId="17" borderId="47" xfId="0" applyFont="1" applyFill="1" applyBorder="1" applyAlignment="1">
      <alignment horizontal="center" vertical="center" wrapText="1"/>
    </xf>
    <xf numFmtId="0" fontId="5" fillId="17" borderId="34" xfId="0" applyFont="1" applyFill="1" applyBorder="1" applyAlignment="1">
      <alignment horizontal="center" vertical="center" wrapText="1"/>
    </xf>
    <xf numFmtId="0" fontId="5" fillId="17" borderId="46"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22" fillId="14" borderId="60" xfId="0" applyFont="1" applyFill="1" applyBorder="1" applyAlignment="1">
      <alignment horizontal="center" textRotation="90"/>
    </xf>
    <xf numFmtId="0" fontId="22" fillId="14" borderId="55" xfId="0" applyFont="1" applyFill="1" applyBorder="1" applyAlignment="1">
      <alignment horizontal="center" textRotation="90"/>
    </xf>
    <xf numFmtId="0" fontId="0" fillId="17" borderId="0" xfId="0" applyFill="1" applyAlignment="1">
      <alignment horizontal="left" vertical="top" wrapText="1"/>
    </xf>
    <xf numFmtId="0" fontId="5" fillId="15" borderId="20" xfId="0" applyFont="1" applyFill="1" applyBorder="1" applyAlignment="1">
      <alignment horizontal="center" vertical="center" wrapText="1"/>
    </xf>
    <xf numFmtId="0" fontId="5" fillId="15" borderId="35" xfId="0" applyFont="1" applyFill="1" applyBorder="1" applyAlignment="1">
      <alignment horizontal="center" vertical="center" wrapText="1"/>
    </xf>
    <xf numFmtId="0" fontId="5" fillId="15" borderId="41" xfId="0" applyFont="1" applyFill="1" applyBorder="1" applyAlignment="1">
      <alignment horizontal="center" vertical="center" wrapText="1"/>
    </xf>
    <xf numFmtId="0" fontId="5" fillId="17" borderId="20" xfId="0" applyFont="1" applyFill="1" applyBorder="1" applyAlignment="1">
      <alignment horizontal="center" vertical="center" wrapText="1"/>
    </xf>
    <xf numFmtId="0" fontId="5" fillId="17" borderId="35" xfId="0" applyFont="1" applyFill="1" applyBorder="1" applyAlignment="1">
      <alignment horizontal="center" vertical="center" wrapText="1"/>
    </xf>
    <xf numFmtId="0" fontId="5" fillId="17" borderId="41" xfId="0" applyFont="1" applyFill="1" applyBorder="1" applyAlignment="1">
      <alignment horizontal="center" vertical="center" wrapText="1"/>
    </xf>
    <xf numFmtId="0" fontId="3" fillId="0" borderId="1" xfId="2" applyAlignment="1">
      <alignment horizontal="center" vertical="center"/>
    </xf>
    <xf numFmtId="0" fontId="7" fillId="0" borderId="35" xfId="4" applyFont="1" applyBorder="1" applyAlignment="1">
      <alignment horizontal="center" vertical="center" wrapText="1"/>
    </xf>
    <xf numFmtId="0" fontId="8" fillId="0" borderId="33"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69" xfId="0" applyFont="1" applyBorder="1" applyAlignment="1">
      <alignment horizontal="center" vertical="center" wrapText="1"/>
    </xf>
    <xf numFmtId="164" fontId="5" fillId="4" borderId="54" xfId="0" applyNumberFormat="1" applyFont="1" applyFill="1" applyBorder="1" applyAlignment="1">
      <alignment horizontal="center" vertical="center" wrapText="1"/>
    </xf>
    <xf numFmtId="164" fontId="5" fillId="4" borderId="56" xfId="0" applyNumberFormat="1" applyFont="1" applyFill="1" applyBorder="1" applyAlignment="1">
      <alignment horizontal="center" vertical="center" wrapText="1"/>
    </xf>
    <xf numFmtId="164" fontId="1" fillId="0" borderId="66" xfId="1" applyNumberFormat="1" applyFont="1" applyBorder="1" applyAlignment="1" applyProtection="1">
      <alignment horizontal="center" vertical="center" wrapText="1"/>
    </xf>
    <xf numFmtId="164" fontId="1" fillId="0" borderId="67" xfId="1" applyNumberFormat="1" applyFont="1" applyBorder="1" applyAlignment="1" applyProtection="1">
      <alignment horizontal="center" vertical="center" wrapText="1"/>
    </xf>
    <xf numFmtId="0" fontId="0" fillId="0" borderId="17" xfId="0" applyBorder="1" applyAlignment="1" applyProtection="1">
      <alignment horizontal="center" vertical="center" wrapText="1"/>
      <protection locked="0"/>
    </xf>
    <xf numFmtId="164" fontId="1" fillId="0" borderId="68" xfId="1" applyNumberFormat="1" applyFont="1" applyBorder="1" applyAlignment="1" applyProtection="1">
      <alignment horizontal="center" vertical="center" wrapText="1"/>
    </xf>
    <xf numFmtId="0" fontId="5" fillId="4" borderId="20" xfId="0" applyFont="1" applyFill="1" applyBorder="1" applyAlignment="1">
      <alignment horizontal="center" vertical="center" wrapText="1"/>
    </xf>
    <xf numFmtId="0" fontId="0" fillId="10" borderId="0" xfId="0" applyFill="1" applyBorder="1"/>
    <xf numFmtId="0" fontId="0" fillId="10" borderId="0" xfId="0" applyFill="1" applyBorder="1" applyAlignment="1">
      <alignment vertical="center" wrapText="1"/>
    </xf>
    <xf numFmtId="0" fontId="0" fillId="10" borderId="31" xfId="0" applyFill="1" applyBorder="1" applyAlignment="1">
      <alignment vertical="center" wrapText="1"/>
    </xf>
    <xf numFmtId="164" fontId="0" fillId="4" borderId="54" xfId="0" applyNumberFormat="1" applyFill="1" applyBorder="1" applyAlignment="1">
      <alignment vertical="center" wrapText="1"/>
    </xf>
    <xf numFmtId="0" fontId="0" fillId="0" borderId="8"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cellXfs>
  <cellStyles count="6">
    <cellStyle name="Comma" xfId="5" builtinId="3"/>
    <cellStyle name="Currency" xfId="1" builtinId="4"/>
    <cellStyle name="Heading 1" xfId="2" builtinId="16"/>
    <cellStyle name="Heading 2" xfId="3" builtinId="17"/>
    <cellStyle name="Hyperlink" xfId="4" builtinId="8"/>
    <cellStyle name="Normal" xfId="0" builtinId="0"/>
  </cellStyles>
  <dxfs count="253">
    <dxf>
      <font>
        <b/>
        <i val="0"/>
        <strike val="0"/>
        <condense val="0"/>
        <extend val="0"/>
        <outline val="0"/>
        <shadow val="0"/>
        <u val="none"/>
        <vertAlign val="baseline"/>
        <sz val="11"/>
        <color theme="1"/>
        <name val="Calibri"/>
        <family val="2"/>
        <scheme val="minor"/>
      </font>
      <numFmt numFmtId="164" formatCode="_(&quot;$&quot;* #,##0_);_(&quot;$&quot;* \(#,##0\);_(&quot;$&quot;* &quot;-&quot;??_);_(@_)"/>
      <fill>
        <patternFill patternType="solid">
          <fgColor indexed="64"/>
          <bgColor theme="0" tint="-0.249977111117893"/>
        </patternFill>
      </fill>
      <alignment horizontal="center" vertical="center" textRotation="0" wrapText="1" indent="0" justifyLastLine="0" shrinkToFit="0" readingOrder="0"/>
      <border diagonalUp="0" diagonalDown="0" outline="0">
        <left style="medium">
          <color theme="5"/>
        </left>
        <right style="medium">
          <color theme="5"/>
        </right>
        <top/>
        <bottom style="medium">
          <color indexed="64"/>
        </bottom>
      </border>
    </dxf>
    <dxf>
      <font>
        <b/>
        <i val="0"/>
        <strike val="0"/>
        <condense val="0"/>
        <extend val="0"/>
        <outline val="0"/>
        <shadow val="0"/>
        <u val="none"/>
        <vertAlign val="baseline"/>
        <sz val="11"/>
        <color theme="1"/>
        <name val="Calibri"/>
        <family val="2"/>
        <scheme val="minor"/>
      </font>
      <numFmt numFmtId="164" formatCode="_(&quot;$&quot;* #,##0_);_(&quot;$&quot;* \(#,##0\);_(&quot;$&quot;* &quot;-&quot;??_);_(@_)"/>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top/>
        <bottom style="medium">
          <color indexed="64"/>
        </bottom>
      </border>
    </dxf>
    <dxf>
      <font>
        <b/>
        <i val="0"/>
        <strike val="0"/>
        <condense val="0"/>
        <extend val="0"/>
        <outline val="0"/>
        <shadow val="0"/>
        <u val="none"/>
        <vertAlign val="baseline"/>
        <sz val="11"/>
        <color theme="1"/>
        <name val="Calibri"/>
        <family val="2"/>
        <scheme val="minor"/>
      </font>
      <numFmt numFmtId="164" formatCode="_(&quot;$&quot;* #,##0_);_(&quot;$&quot;* \(#,##0\);_(&quot;$&quot;* &quot;-&quot;??_);_(@_)"/>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top/>
        <bottom style="medium">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medium">
          <color indexed="64"/>
        </left>
        <right style="thin">
          <color indexed="64"/>
        </right>
        <top/>
        <bottom style="medium">
          <color indexed="64"/>
        </bottom>
      </border>
    </dxf>
    <dxf>
      <alignment horizontal="center" vertical="center" textRotation="0" wrapText="0" indent="0" justifyLastLine="0" shrinkToFit="0" readingOrder="0"/>
      <border diagonalUp="0" diagonalDown="0" outline="0">
        <left style="medium">
          <color indexed="64"/>
        </left>
        <right/>
        <top style="medium">
          <color indexed="64"/>
        </top>
        <bottom style="medium">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medium">
          <color indexed="64"/>
        </top>
        <bottom/>
      </border>
    </dxf>
    <dxf>
      <alignment horizontal="center" vertical="center" textRotation="0" wrapText="0" indent="0" justifyLastLine="0" shrinkToFit="0" readingOrder="0"/>
      <border diagonalUp="0" diagonalDown="0" outline="0">
        <left style="thin">
          <color indexed="64"/>
        </left>
        <right style="thin">
          <color indexed="64"/>
        </right>
        <top style="medium">
          <color indexed="64"/>
        </top>
        <bottom/>
      </border>
    </dxf>
    <dxf>
      <alignment horizontal="center" vertical="center" textRotation="0" wrapText="0" indent="0" justifyLastLine="0" shrinkToFit="0" readingOrder="0"/>
      <border diagonalUp="0" diagonalDown="0" outline="0">
        <left style="thin">
          <color indexed="64"/>
        </left>
        <right style="thin">
          <color indexed="64"/>
        </right>
        <top style="medium">
          <color indexed="64"/>
        </top>
        <bottom/>
      </border>
    </dxf>
    <dxf>
      <alignment horizontal="center" vertical="center" textRotation="0" wrapText="0" indent="0" justifyLastLine="0" shrinkToFit="0" readingOrder="0"/>
      <border diagonalUp="0" diagonalDown="0" outline="0">
        <left style="thin">
          <color indexed="64"/>
        </left>
        <right style="thin">
          <color indexed="64"/>
        </right>
        <top style="medium">
          <color indexed="64"/>
        </top>
        <bottom/>
      </border>
    </dxf>
    <dxf>
      <fill>
        <patternFill patternType="solid">
          <fgColor indexed="64"/>
          <bgColor theme="0" tint="-0.249977111117893"/>
        </patternFill>
      </fill>
      <alignment horizontal="general" vertical="center" textRotation="0" wrapText="1" indent="0" justifyLastLine="0" shrinkToFit="0" readingOrder="0"/>
      <border diagonalUp="0" diagonalDown="0" outline="0">
        <left style="thin">
          <color indexed="64"/>
        </left>
        <right style="thin">
          <color indexed="64"/>
        </right>
        <top style="medium">
          <color indexed="64"/>
        </top>
        <bottom/>
      </border>
    </dxf>
    <dxf>
      <fill>
        <patternFill patternType="solid">
          <fgColor indexed="64"/>
          <bgColor theme="0" tint="-0.249977111117893"/>
        </patternFill>
      </fill>
      <alignment horizontal="general" vertical="center" textRotation="0" wrapText="1" indent="0" justifyLastLine="0" shrinkToFit="0" readingOrder="0"/>
      <border diagonalUp="0" diagonalDown="0" outline="0">
        <left style="thin">
          <color indexed="64"/>
        </left>
        <right style="thin">
          <color indexed="64"/>
        </right>
        <top style="medium">
          <color indexed="64"/>
        </top>
        <bottom/>
      </border>
    </dxf>
    <dxf>
      <fill>
        <patternFill patternType="solid">
          <fgColor indexed="64"/>
          <bgColor theme="0" tint="-0.249977111117893"/>
        </patternFill>
      </fill>
      <alignment horizontal="general" vertical="center" textRotation="0" wrapText="1" indent="0" justifyLastLine="0" shrinkToFit="0" readingOrder="0"/>
      <border diagonalUp="0" diagonalDown="0" outline="0">
        <left style="thin">
          <color indexed="64"/>
        </left>
        <right style="thin">
          <color indexed="64"/>
        </right>
        <top style="medium">
          <color indexed="64"/>
        </top>
        <bottom/>
      </border>
    </dxf>
    <dxf>
      <fill>
        <patternFill patternType="solid">
          <fgColor indexed="64"/>
          <bgColor theme="0" tint="-0.249977111117893"/>
        </patternFill>
      </fill>
      <alignment horizontal="general" vertical="center" textRotation="0" wrapText="1" indent="0" justifyLastLine="0" shrinkToFit="0" readingOrder="0"/>
      <border diagonalUp="0" diagonalDown="0" outline="0">
        <left style="thin">
          <color indexed="64"/>
        </left>
        <right style="thin">
          <color indexed="64"/>
        </right>
        <top style="medium">
          <color indexed="64"/>
        </top>
        <bottom/>
      </border>
    </dxf>
    <dxf>
      <fill>
        <patternFill patternType="solid">
          <fgColor indexed="64"/>
          <bgColor theme="0" tint="-0.249977111117893"/>
        </patternFill>
      </fill>
      <alignment horizontal="general" vertical="center" textRotation="0" wrapText="1" indent="0" justifyLastLine="0" shrinkToFit="0" readingOrder="0"/>
      <border diagonalUp="0" diagonalDown="0" outline="0">
        <left style="thin">
          <color indexed="64"/>
        </left>
        <right style="thin">
          <color indexed="64"/>
        </right>
        <top style="medium">
          <color indexed="64"/>
        </top>
        <bottom/>
      </border>
    </dxf>
    <dxf>
      <fill>
        <patternFill patternType="solid">
          <fgColor indexed="64"/>
          <bgColor theme="0" tint="-0.249977111117893"/>
        </patternFill>
      </fill>
      <alignment horizontal="general" vertical="center" textRotation="0" wrapText="1" indent="0" justifyLastLine="0" shrinkToFit="0" readingOrder="0"/>
      <border diagonalUp="0" diagonalDown="0" outline="0">
        <left style="thin">
          <color indexed="64"/>
        </left>
        <right style="thin">
          <color indexed="64"/>
        </right>
        <top style="medium">
          <color indexed="64"/>
        </top>
        <bottom/>
      </border>
    </dxf>
    <dxf>
      <fill>
        <patternFill patternType="solid">
          <fgColor indexed="64"/>
          <bgColor theme="0" tint="-0.249977111117893"/>
        </patternFill>
      </fill>
      <alignment horizontal="general" vertical="center" textRotation="0" wrapText="1" indent="0" justifyLastLine="0" shrinkToFit="0" readingOrder="0"/>
      <border diagonalUp="0" diagonalDown="0" outline="0">
        <left style="thin">
          <color indexed="64"/>
        </left>
        <right style="thin">
          <color indexed="64"/>
        </right>
        <top style="medium">
          <color indexed="64"/>
        </top>
        <bottom/>
      </border>
    </dxf>
    <dxf>
      <numFmt numFmtId="164" formatCode="_(&quot;$&quot;* #,##0_);_(&quot;$&quot;* \(#,##0\);_(&quot;$&quot;* &quot;-&quot;??_);_(@_)"/>
      <fill>
        <patternFill patternType="solid">
          <fgColor indexed="64"/>
          <bgColor theme="0" tint="-0.249977111117893"/>
        </patternFill>
      </fill>
      <alignment horizontal="general" vertical="center" textRotation="0" wrapText="1" indent="0" justifyLastLine="0" shrinkToFit="0" readingOrder="0"/>
      <border diagonalUp="0" diagonalDown="0" outline="0">
        <left style="thin">
          <color indexed="64"/>
        </left>
        <right/>
        <top style="medium">
          <color indexed="64"/>
        </top>
        <bottom style="medium">
          <color indexed="64"/>
        </bottom>
      </border>
    </dxf>
    <dxf>
      <numFmt numFmtId="164" formatCode="_(&quot;$&quot;* #,##0_);_(&quot;$&quot;* \(#,##0\);_(&quot;$&quot;* &quot;-&quot;??_);_(@_)"/>
      <fill>
        <patternFill patternType="solid">
          <fgColor indexed="64"/>
          <bgColor theme="0" tint="-0.249977111117893"/>
        </patternFill>
      </fill>
      <alignment horizontal="general" vertical="center" textRotation="0" wrapText="1" indent="0" justifyLastLine="0" shrinkToFit="0" readingOrder="0"/>
      <border diagonalUp="0" diagonalDown="0" outline="0">
        <left style="thin">
          <color indexed="64"/>
        </left>
        <right/>
        <top style="medium">
          <color indexed="64"/>
        </top>
        <bottom style="medium">
          <color indexed="64"/>
        </bottom>
      </border>
    </dxf>
    <dxf>
      <numFmt numFmtId="35" formatCode="_(* #,##0.00_);_(* \(#,##0.00\);_(* &quot;-&quot;??_);_(@_)"/>
      <fill>
        <patternFill patternType="solid">
          <fgColor indexed="64"/>
          <bgColor theme="0" tint="-0.249977111117893"/>
        </patternFill>
      </fill>
      <alignment horizontal="general"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numFmt numFmtId="35" formatCode="_(* #,##0.00_);_(* \(#,##0.00\);_(* &quot;-&quot;??_);_(@_)"/>
      <fill>
        <patternFill patternType="solid">
          <fgColor indexed="64"/>
          <bgColor theme="0" tint="-0.249977111117893"/>
        </patternFill>
      </fill>
      <alignment horizontal="general"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numFmt numFmtId="35" formatCode="_(* #,##0.00_);_(* \(#,##0.00\);_(* &quot;-&quot;??_);_(@_)"/>
      <fill>
        <patternFill patternType="solid">
          <fgColor indexed="64"/>
          <bgColor theme="0" tint="-0.249977111117893"/>
        </patternFill>
      </fill>
      <alignment horizontal="general"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numFmt numFmtId="35" formatCode="_(* #,##0.00_);_(* \(#,##0.00\);_(* &quot;-&quot;??_);_(@_)"/>
      <fill>
        <patternFill patternType="solid">
          <fgColor indexed="64"/>
          <bgColor theme="0" tint="-0.249977111117893"/>
        </patternFill>
      </fill>
      <alignment horizontal="general"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numFmt numFmtId="35" formatCode="_(* #,##0.00_);_(* \(#,##0.00\);_(* &quot;-&quot;??_);_(@_)"/>
      <fill>
        <patternFill patternType="solid">
          <fgColor indexed="64"/>
          <bgColor theme="0" tint="-0.249977111117893"/>
        </patternFill>
      </fill>
      <alignment horizontal="general"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numFmt numFmtId="35" formatCode="_(* #,##0.00_);_(* \(#,##0.00\);_(* &quot;-&quot;??_);_(@_)"/>
      <fill>
        <patternFill patternType="solid">
          <fgColor indexed="64"/>
          <bgColor theme="0" tint="-0.249977111117893"/>
        </patternFill>
      </fill>
      <alignment horizontal="general"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numFmt numFmtId="35" formatCode="_(* #,##0.00_);_(* \(#,##0.00\);_(* &quot;-&quot;??_);_(@_)"/>
      <fill>
        <patternFill patternType="solid">
          <fgColor indexed="64"/>
          <bgColor theme="0" tint="-0.249977111117893"/>
        </patternFill>
      </fill>
      <alignment horizontal="general"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numFmt numFmtId="35" formatCode="_(* #,##0.00_);_(* \(#,##0.00\);_(* &quot;-&quot;??_);_(@_)"/>
      <fill>
        <patternFill patternType="solid">
          <fgColor indexed="64"/>
          <bgColor theme="0" tint="-0.249977111117893"/>
        </patternFill>
      </fill>
      <alignment horizontal="general"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numFmt numFmtId="35" formatCode="_(* #,##0.00_);_(* \(#,##0.00\);_(* &quot;-&quot;??_);_(@_)"/>
      <fill>
        <patternFill patternType="solid">
          <fgColor indexed="64"/>
          <bgColor theme="0" tint="-0.249977111117893"/>
        </patternFill>
      </fill>
      <alignment horizontal="general"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numFmt numFmtId="35" formatCode="_(* #,##0.00_);_(* \(#,##0.00\);_(* &quot;-&quot;??_);_(@_)"/>
      <fill>
        <patternFill patternType="solid">
          <fgColor indexed="64"/>
          <bgColor theme="0" tint="-0.249977111117893"/>
        </patternFill>
      </fill>
      <alignment horizontal="general"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numFmt numFmtId="35" formatCode="_(* #,##0.00_);_(* \(#,##0.00\);_(* &quot;-&quot;??_);_(@_)"/>
      <fill>
        <patternFill patternType="solid">
          <fgColor indexed="64"/>
          <bgColor theme="0" tint="-0.249977111117893"/>
        </patternFill>
      </fill>
      <alignment horizontal="general"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numFmt numFmtId="35" formatCode="_(* #,##0.00_);_(* \(#,##0.00\);_(* &quot;-&quot;??_);_(@_)"/>
      <fill>
        <patternFill patternType="solid">
          <fgColor indexed="64"/>
          <bgColor theme="0" tint="-0.249977111117893"/>
        </patternFill>
      </fill>
      <alignment horizontal="general"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numFmt numFmtId="35" formatCode="_(* #,##0.00_);_(* \(#,##0.00\);_(* &quot;-&quot;??_);_(@_)"/>
      <fill>
        <patternFill patternType="solid">
          <fgColor indexed="64"/>
          <bgColor theme="0" tint="-0.249977111117893"/>
        </patternFill>
      </fill>
      <alignment horizontal="general"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numFmt numFmtId="164" formatCode="_(&quot;$&quot;* #,##0_);_(&quot;$&quot;* \(#,##0\);_(&quot;$&quot;* &quot;-&quot;??_);_(@_)"/>
      <fill>
        <patternFill patternType="solid">
          <fgColor indexed="64"/>
          <bgColor theme="0" tint="-0.249977111117893"/>
        </patternFill>
      </fill>
      <alignment horizontal="general" vertical="center" textRotation="0" wrapText="1" indent="0" justifyLastLine="0" shrinkToFit="0" readingOrder="0"/>
      <border diagonalUp="0" diagonalDown="0" outline="0">
        <left style="thin">
          <color indexed="64"/>
        </left>
        <right/>
        <top style="medium">
          <color indexed="64"/>
        </top>
        <bottom style="medium">
          <color indexed="64"/>
        </bottom>
      </border>
    </dxf>
    <dxf>
      <numFmt numFmtId="164" formatCode="_(&quot;$&quot;* #,##0_);_(&quot;$&quot;* \(#,##0\);_(&quot;$&quot;* &quot;-&quot;??_);_(@_)"/>
      <fill>
        <patternFill patternType="solid">
          <fgColor indexed="64"/>
          <bgColor theme="0" tint="-0.249977111117893"/>
        </patternFill>
      </fill>
      <alignment horizontal="general" vertical="center" textRotation="0" wrapText="1" indent="0" justifyLastLine="0" shrinkToFit="0" readingOrder="0"/>
      <border diagonalUp="0" diagonalDown="0" outline="0">
        <left style="thin">
          <color indexed="64"/>
        </left>
        <right/>
        <top/>
        <bottom style="medium">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medium">
          <color indexed="64"/>
        </left>
        <right style="thin">
          <color indexed="64"/>
        </right>
        <top/>
        <bottom style="medium">
          <color indexed="64"/>
        </bottom>
      </border>
    </dxf>
    <dxf>
      <fill>
        <patternFill patternType="solid">
          <fgColor indexed="64"/>
          <bgColor theme="0"/>
        </patternFill>
      </fill>
      <alignment horizontal="general" vertical="center" textRotation="0" wrapText="1" indent="0" justifyLastLine="0" shrinkToFit="0" readingOrder="0"/>
      <border diagonalUp="0" diagonalDown="0" outline="0">
        <left/>
        <right style="medium">
          <color indexed="64"/>
        </right>
        <top/>
        <bottom/>
      </border>
    </dxf>
    <dxf>
      <fill>
        <patternFill patternType="solid">
          <fgColor indexed="64"/>
          <bgColor theme="0"/>
        </patternFill>
      </fill>
      <alignment horizontal="general" vertical="center" textRotation="0" wrapText="1" indent="0" justifyLastLine="0" shrinkToFit="0" readingOrder="0"/>
      <border diagonalUp="0" diagonalDown="0" outline="0">
        <left/>
        <right/>
        <top/>
        <bottom/>
      </border>
    </dxf>
    <dxf>
      <fill>
        <patternFill patternType="solid">
          <fgColor indexed="64"/>
          <bgColor theme="0"/>
        </patternFill>
      </fill>
      <border diagonalUp="0" diagonalDown="0" outline="0">
        <left/>
        <right/>
        <top/>
        <bottom/>
      </border>
    </dxf>
    <dxf>
      <fill>
        <patternFill patternType="solid">
          <fgColor indexed="64"/>
          <bgColor theme="0"/>
        </patternFill>
      </fill>
      <border diagonalUp="0" diagonalDown="0" outline="0">
        <left/>
        <right/>
        <top/>
        <bottom/>
      </border>
    </dxf>
    <dxf>
      <fill>
        <patternFill>
          <bgColor rgb="FFFF6D6D"/>
        </patternFill>
      </fill>
    </dxf>
    <dxf>
      <fill>
        <patternFill>
          <bgColor theme="0" tint="-0.14996795556505021"/>
        </patternFill>
      </fill>
      <border>
        <vertical/>
        <horizontal/>
      </border>
    </dxf>
    <dxf>
      <fill>
        <patternFill>
          <bgColor theme="7" tint="0.59996337778862885"/>
        </patternFill>
      </fill>
      <border>
        <right style="thin">
          <color theme="7"/>
        </right>
        <bottom style="thin">
          <color theme="7"/>
        </bottom>
        <vertical/>
        <horizontal/>
      </border>
    </dxf>
    <dxf>
      <fill>
        <patternFill>
          <bgColor theme="9" tint="0.59996337778862885"/>
        </patternFill>
      </fill>
      <border>
        <right style="thin">
          <color theme="9"/>
        </right>
        <bottom style="thin">
          <color theme="9"/>
        </bottom>
        <vertical/>
        <horizontal/>
      </border>
    </dxf>
    <dxf>
      <font>
        <color rgb="FF006100"/>
      </font>
      <fill>
        <patternFill>
          <bgColor rgb="FFC6EFCE"/>
        </patternFill>
      </fill>
    </dxf>
    <dxf>
      <font>
        <color rgb="FFFF0000"/>
      </font>
    </dxf>
    <dxf>
      <numFmt numFmtId="168" formatCode="[Red]_(&quot;$&quot;* \(#,##0\)"/>
    </dxf>
    <dxf>
      <font>
        <color rgb="FF9C0006"/>
      </font>
      <fill>
        <patternFill>
          <bgColor rgb="FFFFC7CE"/>
        </patternFill>
      </fill>
    </dxf>
    <dxf>
      <font>
        <color rgb="FFFF0000"/>
      </font>
    </dxf>
    <dxf>
      <fill>
        <patternFill>
          <bgColor theme="7" tint="0.59996337778862885"/>
        </patternFill>
      </fill>
    </dxf>
    <dxf>
      <fill>
        <patternFill>
          <bgColor theme="7" tint="0.79998168889431442"/>
        </patternFill>
      </fill>
    </dxf>
    <dxf>
      <fill>
        <patternFill>
          <bgColor theme="5" tint="0.59996337778862885"/>
        </patternFill>
      </fill>
    </dxf>
    <dxf>
      <fill>
        <patternFill>
          <bgColor theme="5" tint="0.59996337778862885"/>
        </patternFill>
      </fill>
    </dxf>
    <dxf>
      <font>
        <color rgb="FF9C0006"/>
      </font>
      <fill>
        <patternFill>
          <bgColor rgb="FFFFC7CE"/>
        </patternFill>
      </fill>
    </dxf>
    <dxf>
      <fill>
        <patternFill>
          <bgColor theme="5" tint="0.59996337778862885"/>
        </patternFill>
      </fill>
    </dxf>
    <dxf>
      <fill>
        <patternFill>
          <bgColor theme="5" tint="0.59996337778862885"/>
        </patternFill>
      </fill>
    </dxf>
    <dxf>
      <numFmt numFmtId="164" formatCode="_(&quot;$&quot;* #,##0_);_(&quot;$&quot;* \(#,##0\);_(&quot;$&quot;* &quot;-&quot;??_);_(@_)"/>
      <fill>
        <patternFill patternType="none">
          <fgColor indexed="64"/>
          <bgColor auto="1"/>
        </patternFill>
      </fill>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color theme="1"/>
        <name val="Calibri"/>
        <scheme val="minor"/>
      </font>
      <numFmt numFmtId="165" formatCode="_(* #,##0_);_(* \(#,##0\);_(* &quot;-&quot;??_);_(@_)"/>
      <fill>
        <patternFill patternType="none">
          <fgColor indexed="64"/>
          <bgColor auto="1"/>
        </patternFill>
      </fill>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font>
      <numFmt numFmtId="164" formatCode="_(&quot;$&quot;* #,##0_);_(&quot;$&quot;* \(#,##0\);_(&quot;$&quot;* &quot;-&quot;??_);_(@_)"/>
      <border diagonalUp="0" diagonalDown="0">
        <left/>
        <right/>
        <top style="thin">
          <color indexed="64"/>
        </top>
        <bottom style="thin">
          <color indexed="64"/>
        </bottom>
        <horizontal style="thin">
          <color indexed="64"/>
        </horizontal>
      </border>
      <protection locked="1" hidden="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wrapText="1" indent="0" justifyLastLine="0" shrinkToFit="0" readingOrder="0"/>
      <border diagonalUp="0" diagonalDown="0">
        <left style="thin">
          <color indexed="64"/>
        </left>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theme="1"/>
        <name val="Calibri"/>
        <scheme val="minor"/>
      </font>
      <numFmt numFmtId="164" formatCode="_(&quot;$&quot;* #,##0_);_(&quot;$&quot;* \(#,##0\);_(&quot;$&quot;* &quot;-&quot;??_);_(@_)"/>
      <alignment horizontal="center" vertical="center" textRotation="0" wrapText="1" indent="0" justifyLastLine="0" shrinkToFit="0" readingOrder="0"/>
      <border diagonalUp="0" diagonalDown="0">
        <left/>
        <right style="thin">
          <color indexed="64"/>
        </right>
        <top style="thin">
          <color indexed="64"/>
        </top>
        <bottom style="thin">
          <color indexed="64"/>
        </bottom>
        <horizontal style="thin">
          <color indexed="64"/>
        </horizontal>
      </border>
      <protection locked="0" hidden="0"/>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font>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bgColor rgb="FFFF8B8B"/>
        </patternFill>
      </fill>
    </dxf>
    <dxf>
      <font>
        <b val="0"/>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border diagonalUp="0" diagonalDown="0" outline="0">
        <left style="medium">
          <color indexed="64"/>
        </left>
        <right/>
        <top style="thin">
          <color indexed="64"/>
        </top>
        <bottom style="thin">
          <color indexed="64"/>
        </bottom>
      </border>
    </dxf>
    <dxf>
      <font>
        <b/>
        <i val="0"/>
        <strike val="0"/>
        <condense val="0"/>
        <extend val="0"/>
        <outline val="0"/>
        <shadow val="0"/>
        <u val="none"/>
        <vertAlign val="baseline"/>
        <sz val="11"/>
        <color theme="1"/>
        <name val="Calibri"/>
        <scheme val="minor"/>
      </font>
      <numFmt numFmtId="0" formatCode="Genera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numFmt numFmtId="0" formatCode="General"/>
      <alignment horizontal="center" vertical="center" textRotation="0" wrapText="1"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center" textRotation="0" wrapText="1"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center" textRotation="0" wrapText="1" indent="0" justifyLastLine="0" shrinkToFit="0" readingOrder="0"/>
    </dxf>
    <dxf>
      <font>
        <color rgb="FF9C0006"/>
      </font>
      <fill>
        <patternFill>
          <bgColor rgb="FFFFC7CE"/>
        </patternFill>
      </fill>
    </dxf>
    <dxf>
      <font>
        <color rgb="FF006100"/>
      </font>
      <fill>
        <patternFill>
          <bgColor rgb="FFC6EFCE"/>
        </patternFill>
      </fill>
    </dxf>
    <dxf>
      <font>
        <color theme="0"/>
      </font>
      <fill>
        <patternFill>
          <bgColor theme="4"/>
        </patternFill>
      </fill>
    </dxf>
    <dxf>
      <fill>
        <patternFill>
          <bgColor theme="7" tint="0.59996337778862885"/>
        </patternFill>
      </fill>
    </dxf>
    <dxf>
      <fill>
        <patternFill>
          <bgColor theme="7" tint="0.79998168889431442"/>
        </patternFill>
      </fill>
    </dxf>
    <dxf>
      <fill>
        <patternFill>
          <bgColor theme="7" tint="0.59996337778862885"/>
        </patternFill>
      </fill>
      <border>
        <right style="thin">
          <color theme="7"/>
        </right>
        <bottom style="thin">
          <color theme="7"/>
        </bottom>
        <vertical/>
        <horizontal/>
      </border>
    </dxf>
    <dxf>
      <fill>
        <patternFill>
          <bgColor theme="9" tint="0.59996337778862885"/>
        </patternFill>
      </fill>
      <border>
        <right style="thin">
          <color theme="9"/>
        </right>
        <bottom style="thin">
          <color theme="9"/>
        </bottom>
        <vertical/>
        <horizontal/>
      </border>
    </dxf>
    <dxf>
      <fill>
        <patternFill>
          <bgColor theme="7" tint="0.59996337778862885"/>
        </patternFill>
      </fill>
      <border>
        <right style="thin">
          <color theme="7"/>
        </right>
        <bottom style="thin">
          <color theme="7"/>
        </bottom>
        <vertical/>
        <horizontal/>
      </border>
    </dxf>
    <dxf>
      <fill>
        <patternFill>
          <bgColor theme="9" tint="0.59996337778862885"/>
        </patternFill>
      </fill>
      <border>
        <right style="thin">
          <color theme="9"/>
        </right>
        <bottom style="thin">
          <color theme="9"/>
        </bottom>
        <vertical/>
        <horizontal/>
      </border>
    </dxf>
    <dxf>
      <fill>
        <patternFill>
          <bgColor theme="0" tint="-0.14996795556505021"/>
        </patternFill>
      </fill>
      <border>
        <vertical/>
        <horizontal/>
      </border>
    </dxf>
    <dxf>
      <fill>
        <patternFill>
          <bgColor theme="7" tint="0.59996337778862885"/>
        </patternFill>
      </fill>
      <border>
        <right style="thin">
          <color theme="7"/>
        </right>
        <bottom style="thin">
          <color theme="7"/>
        </bottom>
        <vertical/>
        <horizontal/>
      </border>
    </dxf>
    <dxf>
      <fill>
        <patternFill>
          <bgColor theme="9" tint="0.59996337778862885"/>
        </patternFill>
      </fill>
      <border>
        <right style="thin">
          <color theme="9"/>
        </right>
        <bottom style="thin">
          <color theme="9"/>
        </bottom>
        <vertical/>
        <horizontal/>
      </border>
    </dxf>
    <dxf>
      <font>
        <color rgb="FF9C0006"/>
      </font>
      <fill>
        <patternFill>
          <bgColor rgb="FFFFC7CE"/>
        </patternFill>
      </fill>
    </dxf>
    <dxf>
      <fill>
        <patternFill>
          <bgColor rgb="FFFF9999"/>
        </patternFill>
      </fill>
    </dxf>
    <dxf>
      <font>
        <color rgb="FF9C0006"/>
      </font>
      <fill>
        <patternFill>
          <bgColor rgb="FFFFC7CE"/>
        </patternFill>
      </fill>
    </dxf>
    <dxf>
      <fill>
        <patternFill>
          <bgColor theme="4" tint="0.59996337778862885"/>
        </patternFill>
      </fill>
    </dxf>
    <dxf>
      <fill>
        <patternFill>
          <bgColor theme="4" tint="0.59996337778862885"/>
        </patternFill>
      </fill>
    </dxf>
    <dxf>
      <fill>
        <patternFill>
          <bgColor theme="7" tint="0.59996337778862885"/>
        </patternFill>
      </fill>
    </dxf>
    <dxf>
      <numFmt numFmtId="0" formatCode="General"/>
    </dxf>
    <dxf>
      <alignment horizontal="right" vertical="bottom" textRotation="0" wrapText="0" indent="0" justifyLastLine="0" shrinkToFit="0" readingOrder="0"/>
    </dxf>
    <dxf>
      <alignment horizontal="right" vertical="bottom" textRotation="0" wrapText="0" indent="0" justifyLastLine="0" shrinkToFit="0" readingOrder="0"/>
    </dxf>
    <dxf>
      <alignment horizontal="center" vertical="center" textRotation="0" wrapText="1"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center" vertical="center" textRotation="0" wrapText="1" indent="0" justifyLastLine="0" shrinkToFit="0" readingOrder="0"/>
    </dxf>
    <dxf>
      <numFmt numFmtId="0" formatCode="General"/>
    </dxf>
    <dxf>
      <font>
        <b val="0"/>
        <i val="0"/>
        <strike val="0"/>
        <condense val="0"/>
        <extend val="0"/>
        <outline val="0"/>
        <shadow val="0"/>
        <u val="none"/>
        <vertAlign val="baseline"/>
        <sz val="11"/>
        <color theme="1"/>
        <name val="Calibri"/>
        <family val="2"/>
        <scheme val="minor"/>
      </font>
      <numFmt numFmtId="164" formatCode="_(&quot;$&quot;* #,##0_);_(&quot;$&quot;* \(#,##0\);_(&quot;$&quot;* &quot;-&quot;??_);_(@_)"/>
    </dxf>
    <dxf>
      <font>
        <b val="0"/>
        <i val="0"/>
        <strike val="0"/>
        <condense val="0"/>
        <extend val="0"/>
        <outline val="0"/>
        <shadow val="0"/>
        <u val="none"/>
        <vertAlign val="baseline"/>
        <sz val="11"/>
        <color theme="1"/>
        <name val="Calibri"/>
        <family val="2"/>
        <scheme val="minor"/>
      </font>
      <numFmt numFmtId="164" formatCode="_(&quot;$&quot;* #,##0_);_(&quot;$&quot;* \(#,##0\);_(&quot;$&quot;* &quot;-&quot;??_);_(@_)"/>
    </dxf>
    <dxf>
      <font>
        <b val="0"/>
        <i val="0"/>
        <strike val="0"/>
        <condense val="0"/>
        <extend val="0"/>
        <outline val="0"/>
        <shadow val="0"/>
        <u val="none"/>
        <vertAlign val="baseline"/>
        <sz val="11"/>
        <color theme="1"/>
        <name val="Calibri"/>
        <family val="2"/>
        <scheme val="minor"/>
      </font>
      <numFmt numFmtId="164" formatCode="_(&quot;$&quot;* #,##0_);_(&quot;$&quot;* \(#,##0\);_(&quot;$&quot;* &quot;-&quot;??_);_(@_)"/>
    </dxf>
    <dxf>
      <font>
        <b val="0"/>
        <i val="0"/>
        <strike val="0"/>
        <condense val="0"/>
        <extend val="0"/>
        <outline val="0"/>
        <shadow val="0"/>
        <u val="none"/>
        <vertAlign val="baseline"/>
        <sz val="11"/>
        <color theme="1"/>
        <name val="Calibri"/>
        <family val="2"/>
        <scheme val="minor"/>
      </font>
      <numFmt numFmtId="164" formatCode="_(&quot;$&quot;* #,##0_);_(&quot;$&quot;* \(#,##0\);_(&quot;$&quot;* &quot;-&quot;??_);_(@_)"/>
    </dxf>
    <dxf>
      <font>
        <b val="0"/>
        <i val="0"/>
        <strike val="0"/>
        <condense val="0"/>
        <extend val="0"/>
        <outline val="0"/>
        <shadow val="0"/>
        <u val="none"/>
        <vertAlign val="baseline"/>
        <sz val="11"/>
        <color theme="1"/>
        <name val="Calibri"/>
        <family val="2"/>
        <scheme val="minor"/>
      </font>
      <numFmt numFmtId="164" formatCode="_(&quot;$&quot;* #,##0_);_(&quot;$&quot;* \(#,##0\);_(&quot;$&quot;* &quot;-&quot;??_);_(@_)"/>
    </dxf>
    <dxf>
      <font>
        <b val="0"/>
        <i val="0"/>
        <strike val="0"/>
        <condense val="0"/>
        <extend val="0"/>
        <outline val="0"/>
        <shadow val="0"/>
        <u val="none"/>
        <vertAlign val="baseline"/>
        <sz val="11"/>
        <color theme="1"/>
        <name val="Calibri"/>
        <family val="2"/>
        <scheme val="minor"/>
      </font>
      <numFmt numFmtId="164" formatCode="_(&quot;$&quot;* #,##0_);_(&quot;$&quot;* \(#,##0\);_(&quot;$&quot;* &quot;-&quot;??_);_(@_)"/>
    </dxf>
    <dxf>
      <font>
        <b val="0"/>
        <i val="0"/>
        <strike val="0"/>
        <condense val="0"/>
        <extend val="0"/>
        <outline val="0"/>
        <shadow val="0"/>
        <u val="none"/>
        <vertAlign val="baseline"/>
        <sz val="11"/>
        <color theme="1"/>
        <name val="Calibri"/>
        <family val="2"/>
        <scheme val="minor"/>
      </font>
      <numFmt numFmtId="164" formatCode="_(&quot;$&quot;* #,##0_);_(&quot;$&quot;* \(#,##0\);_(&quot;$&quot;* &quot;-&quot;??_);_(@_)"/>
    </dxf>
    <dxf>
      <font>
        <b val="0"/>
        <i val="0"/>
        <strike val="0"/>
        <condense val="0"/>
        <extend val="0"/>
        <outline val="0"/>
        <shadow val="0"/>
        <u val="none"/>
        <vertAlign val="baseline"/>
        <sz val="11"/>
        <color theme="1"/>
        <name val="Calibri"/>
        <family val="2"/>
        <scheme val="minor"/>
      </font>
      <numFmt numFmtId="164" formatCode="_(&quot;$&quot;* #,##0_);_(&quot;$&quot;* \(#,##0\);_(&quot;$&quot;* &quot;-&quot;??_);_(@_)"/>
    </dxf>
    <dxf>
      <font>
        <b val="0"/>
        <i val="0"/>
        <strike val="0"/>
        <condense val="0"/>
        <extend val="0"/>
        <outline val="0"/>
        <shadow val="0"/>
        <u val="none"/>
        <vertAlign val="baseline"/>
        <sz val="11"/>
        <color theme="1"/>
        <name val="Calibri"/>
        <family val="2"/>
        <scheme val="minor"/>
      </font>
      <numFmt numFmtId="164" formatCode="_(&quot;$&quot;* #,##0_);_(&quot;$&quot;* \(#,##0\);_(&quot;$&quot;* &quot;-&quot;??_);_(@_)"/>
    </dxf>
    <dxf>
      <numFmt numFmtId="164" formatCode="_(&quot;$&quot;* #,##0_);_(&quot;$&quot;* \(#,##0\);_(&quot;$&quot;* &quot;-&quot;??_);_(@_)"/>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dxf>
    <dxf>
      <alignment horizontal="center" vertical="center"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general" vertical="bottom" textRotation="90" wrapText="0" indent="0" justifyLastLine="0" shrinkToFit="0" readingOrder="0"/>
    </dxf>
    <dxf>
      <font>
        <b val="0"/>
        <i val="0"/>
        <strike val="0"/>
        <condense val="0"/>
        <extend val="0"/>
        <outline val="0"/>
        <shadow val="0"/>
        <u val="none"/>
        <vertAlign val="baseline"/>
        <sz val="11"/>
        <color theme="1"/>
        <name val="Calibri"/>
        <scheme val="minor"/>
      </font>
      <numFmt numFmtId="35" formatCode="_(* #,##0.00_);_(* \(#,##0.00\);_(* &quot;-&quot;??_);_(@_)"/>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theme="0"/>
        <name val="Calibri"/>
        <family val="2"/>
        <scheme val="minor"/>
      </font>
      <fill>
        <patternFill patternType="solid">
          <fgColor indexed="64"/>
          <bgColor theme="0"/>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protection locked="1" hidden="0"/>
    </dxf>
    <dxf>
      <numFmt numFmtId="35" formatCode="_(* #,##0.00_);_(* \(#,##0.00\);_(* &quot;-&quot;??_);_(@_)"/>
      <fill>
        <patternFill patternType="solid">
          <fgColor indexed="64"/>
          <bgColor theme="0"/>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protection locked="1" hidden="0"/>
    </dxf>
    <dxf>
      <fill>
        <patternFill patternType="solid">
          <fgColor indexed="64"/>
          <bgColor theme="0" tint="-0.34998626667073579"/>
        </patternFill>
      </fill>
      <alignment horizontal="general" vertical="center" textRotation="0" wrapText="0" indent="0" justifyLastLine="0" shrinkToFit="0" readingOrder="0"/>
      <border diagonalUp="0" diagonalDown="0" outline="0">
        <left style="thin">
          <color indexed="64"/>
        </left>
        <right style="medium">
          <color indexed="64"/>
        </right>
        <top style="medium">
          <color indexed="64"/>
        </top>
        <bottom style="medium">
          <color indexed="64"/>
        </bottom>
      </border>
      <protection locked="0" hidden="0"/>
    </dxf>
    <dxf>
      <font>
        <b val="0"/>
        <i val="0"/>
        <strike val="0"/>
        <condense val="0"/>
        <extend val="0"/>
        <outline val="0"/>
        <shadow val="0"/>
        <u val="none"/>
        <vertAlign val="baseline"/>
        <sz val="11"/>
        <color theme="1"/>
        <name val="Calibri"/>
        <scheme val="minor"/>
      </font>
      <numFmt numFmtId="165" formatCode="_(* #,##0_);_(* \(#,##0\);_(* &quot;-&quot;??_);_(@_)"/>
      <alignment horizontal="general"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border>
      <protection locked="0" hidden="0"/>
    </dxf>
    <dxf>
      <fill>
        <patternFill patternType="solid">
          <fgColor indexed="64"/>
          <bgColor theme="0" tint="-0.34998626667073579"/>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protection locked="0" hidden="0"/>
    </dxf>
    <dxf>
      <font>
        <b val="0"/>
        <i val="0"/>
        <strike val="0"/>
        <condense val="0"/>
        <extend val="0"/>
        <outline val="0"/>
        <shadow val="0"/>
        <u val="none"/>
        <vertAlign val="baseline"/>
        <sz val="11"/>
        <color theme="1"/>
        <name val="Calibri"/>
        <scheme val="minor"/>
      </font>
      <numFmt numFmtId="165" formatCode="_(* #,##0_);_(* \(#,##0\);_(* &quot;-&quot;??_);_(@_)"/>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solid">
          <fgColor indexed="64"/>
          <bgColor theme="0" tint="-0.34998626667073579"/>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protection locked="0" hidden="0"/>
    </dxf>
    <dxf>
      <font>
        <b val="0"/>
        <i val="0"/>
        <strike val="0"/>
        <condense val="0"/>
        <extend val="0"/>
        <outline val="0"/>
        <shadow val="0"/>
        <u val="none"/>
        <vertAlign val="baseline"/>
        <sz val="11"/>
        <color theme="1"/>
        <name val="Calibri"/>
        <scheme val="minor"/>
      </font>
      <numFmt numFmtId="165" formatCode="_(* #,##0_);_(* \(#,##0\);_(* &quot;-&quot;??_);_(@_)"/>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solid">
          <fgColor indexed="64"/>
          <bgColor theme="0" tint="-0.34998626667073579"/>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protection locked="0" hidden="0"/>
    </dxf>
    <dxf>
      <font>
        <b val="0"/>
        <i val="0"/>
        <strike val="0"/>
        <condense val="0"/>
        <extend val="0"/>
        <outline val="0"/>
        <shadow val="0"/>
        <u val="none"/>
        <vertAlign val="baseline"/>
        <sz val="11"/>
        <color theme="1"/>
        <name val="Calibri"/>
        <scheme val="minor"/>
      </font>
      <numFmt numFmtId="165" formatCode="_(* #,##0_);_(* \(#,##0\);_(* &quot;-&quot;??_);_(@_)"/>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solid">
          <fgColor indexed="64"/>
          <bgColor theme="0" tint="-0.34998626667073579"/>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protection locked="0" hidden="0"/>
    </dxf>
    <dxf>
      <font>
        <b val="0"/>
        <i val="0"/>
        <strike val="0"/>
        <condense val="0"/>
        <extend val="0"/>
        <outline val="0"/>
        <shadow val="0"/>
        <u val="none"/>
        <vertAlign val="baseline"/>
        <sz val="11"/>
        <color theme="1"/>
        <name val="Calibri"/>
        <scheme val="minor"/>
      </font>
      <numFmt numFmtId="165" formatCode="_(* #,##0_);_(* \(#,##0\);_(* &quot;-&quot;??_);_(@_)"/>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solid">
          <fgColor indexed="64"/>
          <bgColor theme="0" tint="-0.34998626667073579"/>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protection locked="0" hidden="0"/>
    </dxf>
    <dxf>
      <font>
        <b val="0"/>
        <i val="0"/>
        <strike val="0"/>
        <condense val="0"/>
        <extend val="0"/>
        <outline val="0"/>
        <shadow val="0"/>
        <u val="none"/>
        <vertAlign val="baseline"/>
        <sz val="11"/>
        <color theme="1"/>
        <name val="Calibri"/>
        <scheme val="minor"/>
      </font>
      <numFmt numFmtId="165" formatCode="_(* #,##0_);_(* \(#,##0\);_(* &quot;-&quot;??_);_(@_)"/>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solid">
          <fgColor indexed="64"/>
          <bgColor theme="0" tint="-0.34998626667073579"/>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protection locked="0" hidden="0"/>
    </dxf>
    <dxf>
      <font>
        <b val="0"/>
        <i val="0"/>
        <strike val="0"/>
        <condense val="0"/>
        <extend val="0"/>
        <outline val="0"/>
        <shadow val="0"/>
        <u val="none"/>
        <vertAlign val="baseline"/>
        <sz val="11"/>
        <color theme="1"/>
        <name val="Calibri"/>
        <scheme val="minor"/>
      </font>
      <numFmt numFmtId="165" formatCode="_(* #,##0_);_(* \(#,##0\);_(* &quot;-&quot;??_);_(@_)"/>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solid">
          <fgColor indexed="64"/>
          <bgColor theme="0" tint="-0.34998626667073579"/>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protection locked="0" hidden="0"/>
    </dxf>
    <dxf>
      <font>
        <b val="0"/>
        <i val="0"/>
        <strike val="0"/>
        <condense val="0"/>
        <extend val="0"/>
        <outline val="0"/>
        <shadow val="0"/>
        <u val="none"/>
        <vertAlign val="baseline"/>
        <sz val="11"/>
        <color theme="1"/>
        <name val="Calibri"/>
        <scheme val="minor"/>
      </font>
      <numFmt numFmtId="165" formatCode="_(* #,##0_);_(* \(#,##0\);_(* &quot;-&quot;??_);_(@_)"/>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solid">
          <fgColor indexed="64"/>
          <bgColor theme="0" tint="-0.34998626667073579"/>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protection locked="0" hidden="0"/>
    </dxf>
    <dxf>
      <font>
        <b val="0"/>
        <i val="0"/>
        <strike val="0"/>
        <condense val="0"/>
        <extend val="0"/>
        <outline val="0"/>
        <shadow val="0"/>
        <u val="none"/>
        <vertAlign val="baseline"/>
        <sz val="11"/>
        <color theme="1"/>
        <name val="Calibri"/>
        <scheme val="minor"/>
      </font>
      <numFmt numFmtId="165" formatCode="_(* #,##0_);_(* \(#,##0\);_(* &quot;-&quot;??_);_(@_)"/>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solid">
          <fgColor indexed="64"/>
          <bgColor theme="0" tint="-0.34998626667073579"/>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protection locked="0" hidden="0"/>
    </dxf>
    <dxf>
      <font>
        <b val="0"/>
        <i val="0"/>
        <strike val="0"/>
        <condense val="0"/>
        <extend val="0"/>
        <outline val="0"/>
        <shadow val="0"/>
        <u val="none"/>
        <vertAlign val="baseline"/>
        <sz val="11"/>
        <color theme="1"/>
        <name val="Calibri"/>
        <scheme val="minor"/>
      </font>
      <numFmt numFmtId="165" formatCode="_(* #,##0_);_(* \(#,##0\);_(* &quot;-&quot;??_);_(@_)"/>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solid">
          <fgColor indexed="64"/>
          <bgColor theme="0" tint="-0.34998626667073579"/>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protection locked="0" hidden="0"/>
    </dxf>
    <dxf>
      <font>
        <b val="0"/>
        <i val="0"/>
        <strike val="0"/>
        <condense val="0"/>
        <extend val="0"/>
        <outline val="0"/>
        <shadow val="0"/>
        <u val="none"/>
        <vertAlign val="baseline"/>
        <sz val="11"/>
        <color theme="1"/>
        <name val="Calibri"/>
        <scheme val="minor"/>
      </font>
      <numFmt numFmtId="165" formatCode="_(* #,##0_);_(* \(#,##0\);_(* &quot;-&quot;??_);_(@_)"/>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solid">
          <fgColor indexed="64"/>
          <bgColor theme="0" tint="-0.34998626667073579"/>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protection locked="0" hidden="0"/>
    </dxf>
    <dxf>
      <font>
        <b val="0"/>
        <i val="0"/>
        <strike val="0"/>
        <condense val="0"/>
        <extend val="0"/>
        <outline val="0"/>
        <shadow val="0"/>
        <u val="none"/>
        <vertAlign val="baseline"/>
        <sz val="11"/>
        <color theme="1"/>
        <name val="Calibri"/>
        <scheme val="minor"/>
      </font>
      <numFmt numFmtId="165" formatCode="_(* #,##0_);_(* \(#,##0\);_(* &quot;-&quot;??_);_(@_)"/>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solid">
          <fgColor indexed="64"/>
          <bgColor theme="0" tint="-0.34998626667073579"/>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protection locked="0" hidden="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0" tint="-0.34998626667073579"/>
        </patternFill>
      </fill>
      <alignment horizontal="right"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numFmt numFmtId="164" formatCode="_(&quot;$&quot;* #,##0_);_(&quot;$&quot;* \(#,##0\);_(&quot;$&quot;* &quot;-&quot;??_);_(@_)"/>
      <fill>
        <patternFill patternType="solid">
          <fgColor indexed="64"/>
          <bgColor theme="0" tint="-0.34998626667073579"/>
        </patternFill>
      </fill>
      <alignment horizontal="right"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_(&quot;$&quot;* #,##0_);_(&quot;$&quot;* \(#,##0\);_(&quot;$&quot;* &quot;-&quot;??_);_(@_)"/>
      <fill>
        <patternFill patternType="solid">
          <fgColor indexed="64"/>
          <bgColor theme="0" tint="-0.34998626667073579"/>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1"/>
        <color theme="1"/>
        <name val="Calibri"/>
        <scheme val="minor"/>
      </font>
      <numFmt numFmtId="164" formatCode="_(&quot;$&quot;* #,##0_);_(&quot;$&quot;* \(#,##0\);_(&quot;$&quot;* &quot;-&quot;??_);_(@_)"/>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quot;$&quot;* #,##0_);_(&quot;$&quot;* \(#,##0\);_(&quot;$&quot;* &quot;-&quot;??_);_(@_)"/>
      <fill>
        <patternFill patternType="solid">
          <fgColor indexed="64"/>
          <bgColor theme="0" tint="-0.34998626667073579"/>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1"/>
        <color theme="1"/>
        <name val="Calibri"/>
        <scheme val="minor"/>
      </font>
      <numFmt numFmtId="164" formatCode="_(&quot;$&quot;* #,##0_);_(&quot;$&quot;* \(#,##0\);_(&quot;$&quot;*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34998626667073579"/>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1"/>
        <color theme="1"/>
        <name val="Calibri"/>
        <scheme val="minor"/>
      </font>
      <numFmt numFmtId="164" formatCode="_(&quot;$&quot;* #,##0_);_(&quot;$&quot;* \(#,##0\);_(&quot;$&quot;* &quot;-&quot;??_);_(@_)"/>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34998626667073579"/>
        </patternFill>
      </fill>
      <alignment horizontal="center" vertical="center" textRotation="0" wrapText="0" indent="0" justifyLastLine="0" shrinkToFit="0" readingOrder="0"/>
      <border diagonalUp="0" diagonalDown="0" outline="0">
        <left style="medium">
          <color indexed="64"/>
        </left>
        <right/>
        <top style="medium">
          <color indexed="64"/>
        </top>
        <bottom style="medium">
          <color indexed="64"/>
        </bottom>
      </border>
      <protection locked="0" hidden="0"/>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border outline="0">
        <right style="medium">
          <color indexed="64"/>
        </right>
      </border>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protection locked="0" hidden="0"/>
    </dxf>
    <dxf>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65" formatCode="_(* #,##0_);_(* \(#,##0\);_(* &quot;-&quot;??_);_(@_)"/>
    </dxf>
    <dxf>
      <font>
        <b val="0"/>
        <i val="0"/>
        <strike val="0"/>
        <condense val="0"/>
        <extend val="0"/>
        <outline val="0"/>
        <shadow val="0"/>
        <u val="none"/>
        <vertAlign val="baseline"/>
        <sz val="11"/>
        <color theme="1"/>
        <name val="Calibri"/>
        <scheme val="minor"/>
      </font>
      <numFmt numFmtId="165" formatCode="_(* #,##0_);_(* \(#,##0\);_(* &quot;-&quot;??_);_(@_)"/>
    </dxf>
    <dxf>
      <font>
        <b val="0"/>
        <i val="0"/>
        <strike val="0"/>
        <condense val="0"/>
        <extend val="0"/>
        <outline val="0"/>
        <shadow val="0"/>
        <u val="none"/>
        <vertAlign val="baseline"/>
        <sz val="11"/>
        <color theme="1"/>
        <name val="Calibri"/>
        <scheme val="minor"/>
      </font>
      <numFmt numFmtId="165" formatCode="_(* #,##0_);_(* \(#,##0\);_(* &quot;-&quot;??_);_(@_)"/>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dxf>
    <dxf>
      <font>
        <b val="0"/>
        <i val="0"/>
        <strike val="0"/>
        <condense val="0"/>
        <extend val="0"/>
        <outline val="0"/>
        <shadow val="0"/>
        <u val="none"/>
        <vertAlign val="baseline"/>
        <sz val="11"/>
        <color theme="1"/>
        <name val="Calibri"/>
        <scheme val="minor"/>
      </font>
      <numFmt numFmtId="164" formatCode="_(&quot;$&quot;* #,##0_);_(&quot;$&quot;* \(#,##0\);_(&quot;$&quot;* &quot;-&quot;??_);_(@_)"/>
    </dxf>
    <dxf>
      <font>
        <b val="0"/>
        <i val="0"/>
        <strike val="0"/>
        <condense val="0"/>
        <extend val="0"/>
        <outline val="0"/>
        <shadow val="0"/>
        <u val="none"/>
        <vertAlign val="baseline"/>
        <sz val="11"/>
        <color theme="1"/>
        <name val="Calibri"/>
        <scheme val="minor"/>
      </font>
      <numFmt numFmtId="164" formatCode="_(&quot;$&quot;* #,##0_);_(&quot;$&quot;* \(#,##0\);_(&quot;$&quot;*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4" formatCode="_(&quot;$&quot;* #,##0_);_(&quot;$&quot;* \(#,##0\);_(&quot;$&quot;* &quot;-&quot;??_);_(@_)"/>
    </dxf>
    <dxf>
      <font>
        <b val="0"/>
        <i val="0"/>
        <strike val="0"/>
        <condense val="0"/>
        <extend val="0"/>
        <outline val="0"/>
        <shadow val="0"/>
        <u val="none"/>
        <vertAlign val="baseline"/>
        <sz val="11"/>
        <color theme="1"/>
        <name val="Calibri"/>
        <scheme val="minor"/>
      </font>
    </dxf>
    <dxf>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numFmt numFmtId="166" formatCode="_(&quot;$&quot;* #,##0_);_(&quot;$&quot;* \(#,##0\);"/>
      <fill>
        <patternFill patternType="solid">
          <fgColor indexed="64"/>
          <bgColor theme="0" tint="-0.249977111117893"/>
        </patternFill>
      </fill>
      <alignment horizontal="general" vertical="center" textRotation="0" wrapText="0" indent="0" justifyLastLine="0" shrinkToFit="0" readingOrder="0"/>
      <border diagonalUp="0" diagonalDown="0" outline="0">
        <left style="medium">
          <color indexed="64"/>
        </left>
        <right style="medium">
          <color indexed="64"/>
        </right>
        <top/>
        <bottom style="medium">
          <color auto="1"/>
        </bottom>
      </border>
    </dxf>
    <dxf>
      <font>
        <b/>
        <i val="0"/>
        <strike val="0"/>
        <condense val="0"/>
        <extend val="0"/>
        <outline val="0"/>
        <shadow val="0"/>
        <u val="none"/>
        <vertAlign val="baseline"/>
        <sz val="11"/>
        <color theme="1"/>
        <name val="Calibri"/>
        <scheme val="minor"/>
      </font>
      <numFmt numFmtId="166" formatCode="_(&quot;$&quot;* #,##0_);_(&quot;$&quot;* \(#,##0\);"/>
      <alignment horizontal="general"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numFmt numFmtId="164" formatCode="_(&quot;$&quot;* #,##0_);_(&quot;$&quot;* \(#,##0\);_(&quot;$&quot;* &quot;-&quot;??_);_(@_)"/>
      <fill>
        <patternFill patternType="solid">
          <fgColor indexed="64"/>
          <bgColor theme="0" tint="-0.249977111117893"/>
        </patternFill>
      </fill>
      <alignment horizontal="general" vertical="center" textRotation="0" wrapText="0" indent="0" justifyLastLine="0" shrinkToFit="0" readingOrder="0"/>
      <border diagonalUp="0" diagonalDown="0" outline="0">
        <left style="thin">
          <color indexed="64"/>
        </left>
        <right/>
        <top/>
        <bottom style="medium">
          <color indexed="64"/>
        </bottom>
      </border>
    </dxf>
    <dxf>
      <font>
        <b val="0"/>
        <i val="0"/>
        <strike val="0"/>
        <condense val="0"/>
        <extend val="0"/>
        <outline val="0"/>
        <shadow val="0"/>
        <u val="none"/>
        <vertAlign val="baseline"/>
        <sz val="11"/>
        <color theme="1"/>
        <name val="Calibri"/>
        <scheme val="minor"/>
      </font>
      <numFmt numFmtId="166" formatCode="_(&quot;$&quot;* #,##0_);_(&quot;$&quot;* \(#,##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numFmt numFmtId="166" formatCode="_(&quot;$&quot;* #,##0_);_(&quot;$&quot;* \(#,##0\);"/>
      <fill>
        <patternFill patternType="solid">
          <fgColor indexed="64"/>
          <bgColor theme="0" tint="-0.249977111117893"/>
        </patternFill>
      </fill>
      <alignment horizontal="general" vertical="center" textRotation="0" wrapText="0" indent="0" justifyLastLine="0" shrinkToFit="0" readingOrder="0"/>
      <border diagonalUp="0" diagonalDown="0" outline="0">
        <left style="thin">
          <color theme="1"/>
        </left>
        <right/>
        <top/>
        <bottom style="medium">
          <color indexed="64"/>
        </bottom>
      </border>
    </dxf>
    <dxf>
      <font>
        <b val="0"/>
        <i val="0"/>
        <strike val="0"/>
        <condense val="0"/>
        <extend val="0"/>
        <outline val="0"/>
        <shadow val="0"/>
        <u val="none"/>
        <vertAlign val="baseline"/>
        <sz val="11"/>
        <color theme="1"/>
        <name val="Calibri"/>
        <scheme val="minor"/>
      </font>
      <numFmt numFmtId="166" formatCode="_(&quot;$&quot;* #,##0_);_(&quot;$&quot;* \(#,##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medium">
          <color indexed="64"/>
        </left>
        <right/>
        <top/>
        <bottom style="medium">
          <color indexed="64"/>
        </bottom>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border>
        <top style="medium">
          <color indexed="64"/>
        </top>
      </border>
    </dxf>
    <dxf>
      <font>
        <b/>
      </font>
      <fill>
        <patternFill patternType="solid">
          <fgColor indexed="64"/>
          <bgColor theme="0" tint="-0.249977111117893"/>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Calibri"/>
        <scheme val="minor"/>
      </font>
      <fill>
        <patternFill>
          <bgColor rgb="FF9999FF"/>
        </patternFill>
      </fill>
      <alignment horizontal="center" vertical="center" textRotation="0" wrapText="1" indent="0" justifyLastLine="0" shrinkToFit="0" readingOrder="0"/>
    </dxf>
    <dxf>
      <font>
        <strike val="0"/>
        <outline val="0"/>
        <shadow val="0"/>
        <u val="none"/>
        <vertAlign val="baseline"/>
        <color theme="1"/>
        <name val="Calibri"/>
        <scheme val="minor"/>
      </font>
      <numFmt numFmtId="165" formatCode="_(* #,##0_);_(* \(#,##0\);_(* &quot;-&quot;??_);_(@_)"/>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color theme="1"/>
        <name val="Calibri"/>
        <scheme val="minor"/>
      </font>
      <numFmt numFmtId="165" formatCode="_(* #,##0_);_(* \(#,##0\);_(* &quot;-&quot;??_);_(@_)"/>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color theme="1"/>
        <name val="Calibri"/>
        <scheme val="minor"/>
      </font>
      <numFmt numFmtId="165" formatCode="_(* #,##0_);_(* \(#,##0\);_(* &quot;-&quot;??_);_(@_)"/>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color theme="1"/>
        <name val="Calibri"/>
        <scheme val="minor"/>
      </font>
      <numFmt numFmtId="165" formatCode="_(* #,##0_);_(* \(#,##0\);_(* &quot;-&quot;??_);_(@_)"/>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Calibri"/>
        <family val="2"/>
        <scheme val="minor"/>
      </font>
      <numFmt numFmtId="165" formatCode="_(* #,##0_);_(* \(#,##0\);_(* &quot;-&quot;??_);_(@_)"/>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color theme="1"/>
        <name val="Calibri"/>
        <scheme val="minor"/>
      </font>
      <numFmt numFmtId="165" formatCode="_(* #,##0_);_(* \(#,##0\);_(* &quot;-&quot;??_);_(@_)"/>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color theme="1"/>
        <name val="Calibri"/>
        <scheme val="minor"/>
      </font>
      <numFmt numFmtId="165" formatCode="_(* #,##0_);_(* \(#,##0\);_(* &quot;-&quot;??_);_(@_)"/>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Calibri"/>
        <family val="2"/>
        <scheme val="minor"/>
      </font>
      <numFmt numFmtId="164" formatCode="_(&quot;$&quot;* #,##0_);_(&quot;$&quot;* \(#,##0\);_(&quot;$&quot;* &quot;-&quot;??_);_(@_)"/>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scheme val="minor"/>
      </font>
      <numFmt numFmtId="164" formatCode="_(&quot;$&quot;* #,##0_);_(&quot;$&quot;* \(#,##0\);_(&quot;$&quot;* &quot;-&quot;??_);_(@_)"/>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165" formatCode="_(* #,##0_);_(* \(#,##0\);_(* &quot;-&quot;??_);_(@_)"/>
      <alignment horizontal="general" vertical="center" textRotation="0" wrapText="0" indent="0" justifyLastLine="0" shrinkToFit="0" readingOrder="0"/>
      <border diagonalUp="0" diagonalDown="0" outline="0">
        <left style="thin">
          <color indexed="64"/>
        </left>
        <right style="medium">
          <color indexed="64"/>
        </right>
        <top style="medium">
          <color auto="1"/>
        </top>
        <bottom style="medium">
          <color auto="1"/>
        </bottom>
      </border>
      <protection locked="0" hidden="0"/>
    </dxf>
    <dxf>
      <numFmt numFmtId="165" formatCode="_(* #,##0_);_(* \(#,##0\);_(* &quot;-&quot;??_);_(@_)"/>
      <alignment horizontal="general" vertical="center" textRotation="0" wrapText="0" indent="0" justifyLastLine="0" shrinkToFit="0" readingOrder="0"/>
      <border diagonalUp="0" diagonalDown="0" outline="0">
        <left style="thin">
          <color indexed="64"/>
        </left>
        <right style="thin">
          <color indexed="64"/>
        </right>
        <top style="medium">
          <color auto="1"/>
        </top>
        <bottom style="medium">
          <color auto="1"/>
        </bottom>
      </border>
      <protection locked="0" hidden="0"/>
    </dxf>
    <dxf>
      <numFmt numFmtId="165" formatCode="_(* #,##0_);_(* \(#,##0\);_(* &quot;-&quot;??_);_(@_)"/>
      <alignment horizontal="general" vertical="center" textRotation="0" wrapText="0" indent="0" justifyLastLine="0" shrinkToFit="0" readingOrder="0"/>
      <border diagonalUp="0" diagonalDown="0" outline="0">
        <left style="thin">
          <color indexed="64"/>
        </left>
        <right style="thin">
          <color indexed="64"/>
        </right>
        <top style="medium">
          <color auto="1"/>
        </top>
        <bottom style="medium">
          <color auto="1"/>
        </bottom>
      </border>
      <protection locked="0" hidden="0"/>
    </dxf>
    <dxf>
      <numFmt numFmtId="165" formatCode="_(* #,##0_);_(* \(#,##0\);_(* &quot;-&quot;??_);_(@_)"/>
      <alignment horizontal="general" vertical="center" textRotation="0" wrapText="0" indent="0" justifyLastLine="0" shrinkToFit="0" readingOrder="0"/>
      <border diagonalUp="0" diagonalDown="0" outline="0">
        <left style="thin">
          <color indexed="64"/>
        </left>
        <right style="thin">
          <color indexed="64"/>
        </right>
        <top style="medium">
          <color auto="1"/>
        </top>
        <bottom style="medium">
          <color auto="1"/>
        </bottom>
      </border>
      <protection locked="0" hidden="0"/>
    </dxf>
    <dxf>
      <numFmt numFmtId="165" formatCode="_(* #,##0_);_(* \(#,##0\);_(* &quot;-&quot;??_);_(@_)"/>
      <alignment horizontal="general" vertical="center" textRotation="0" wrapText="0" indent="0" justifyLastLine="0" shrinkToFit="0" readingOrder="0"/>
      <border diagonalUp="0" diagonalDown="0" outline="0">
        <left style="thin">
          <color indexed="64"/>
        </left>
        <right style="thin">
          <color indexed="64"/>
        </right>
        <top style="medium">
          <color auto="1"/>
        </top>
        <bottom style="medium">
          <color auto="1"/>
        </bottom>
      </border>
      <protection locked="0" hidden="0"/>
    </dxf>
    <dxf>
      <numFmt numFmtId="165" formatCode="_(* #,##0_);_(* \(#,##0\);_(* &quot;-&quot;??_);_(@_)"/>
      <alignment horizontal="general" vertical="center" textRotation="0" wrapText="0" indent="0" justifyLastLine="0" shrinkToFit="0" readingOrder="0"/>
      <border diagonalUp="0" diagonalDown="0" outline="0">
        <left style="thin">
          <color indexed="64"/>
        </left>
        <right style="thin">
          <color indexed="64"/>
        </right>
        <top style="medium">
          <color auto="1"/>
        </top>
        <bottom style="medium">
          <color auto="1"/>
        </bottom>
      </border>
      <protection locked="0" hidden="0"/>
    </dxf>
    <dxf>
      <numFmt numFmtId="165" formatCode="_(* #,##0_);_(* \(#,##0\);_(* &quot;-&quot;??_);_(@_)"/>
      <alignment horizontal="general" vertical="center" textRotation="0" wrapText="0" indent="0" justifyLastLine="0" shrinkToFit="0" readingOrder="0"/>
      <border diagonalUp="0" diagonalDown="0" outline="0">
        <left style="thin">
          <color indexed="64"/>
        </left>
        <right style="thin">
          <color indexed="64"/>
        </right>
        <top style="medium">
          <color auto="1"/>
        </top>
        <bottom style="medium">
          <color auto="1"/>
        </bottom>
      </border>
      <protection locked="0" hidden="0"/>
    </dxf>
    <dxf>
      <numFmt numFmtId="165" formatCode="_(* #,##0_);_(* \(#,##0\);_(* &quot;-&quot;??_);_(@_)"/>
      <alignment horizontal="general" vertical="center" textRotation="0" wrapText="0" indent="0" justifyLastLine="0" shrinkToFit="0" readingOrder="0"/>
      <border diagonalUp="0" diagonalDown="0" outline="0">
        <left style="thin">
          <color indexed="64"/>
        </left>
        <right style="thin">
          <color indexed="64"/>
        </right>
        <top style="medium">
          <color auto="1"/>
        </top>
        <bottom style="medium">
          <color auto="1"/>
        </bottom>
      </border>
      <protection locked="0" hidden="0"/>
    </dxf>
    <dxf>
      <numFmt numFmtId="165" formatCode="_(* #,##0_);_(* \(#,##0\);_(* &quot;-&quot;??_);_(@_)"/>
      <alignment horizontal="general" vertical="center" textRotation="0" wrapText="0" indent="0" justifyLastLine="0" shrinkToFit="0" readingOrder="0"/>
      <border diagonalUp="0" diagonalDown="0" outline="0">
        <left style="thin">
          <color indexed="64"/>
        </left>
        <right style="thin">
          <color indexed="64"/>
        </right>
        <top style="medium">
          <color auto="1"/>
        </top>
        <bottom style="medium">
          <color auto="1"/>
        </bottom>
      </border>
      <protection locked="0" hidden="0"/>
    </dxf>
    <dxf>
      <numFmt numFmtId="165" formatCode="_(* #,##0_);_(* \(#,##0\);_(* &quot;-&quot;??_);_(@_)"/>
      <alignment horizontal="general" vertical="center" textRotation="0" wrapText="0" indent="0" justifyLastLine="0" shrinkToFit="0" readingOrder="0"/>
      <border diagonalUp="0" diagonalDown="0" outline="0">
        <left style="thin">
          <color indexed="64"/>
        </left>
        <right style="thin">
          <color indexed="64"/>
        </right>
        <top style="medium">
          <color auto="1"/>
        </top>
        <bottom style="medium">
          <color auto="1"/>
        </bottom>
      </border>
      <protection locked="0" hidden="0"/>
    </dxf>
    <dxf>
      <numFmt numFmtId="165" formatCode="_(* #,##0_);_(* \(#,##0\);_(* &quot;-&quot;??_);_(@_)"/>
      <alignment horizontal="general" vertical="center" textRotation="0" wrapText="0" indent="0" justifyLastLine="0" shrinkToFit="0" readingOrder="0"/>
      <border diagonalUp="0" diagonalDown="0" outline="0">
        <left style="thin">
          <color indexed="64"/>
        </left>
        <right style="thin">
          <color indexed="64"/>
        </right>
        <top style="medium">
          <color auto="1"/>
        </top>
        <bottom style="medium">
          <color auto="1"/>
        </bottom>
      </border>
      <protection locked="0" hidden="0"/>
    </dxf>
    <dxf>
      <font>
        <strike val="0"/>
        <outline val="0"/>
        <shadow val="0"/>
        <u val="none"/>
        <vertAlign val="baseline"/>
        <color theme="1"/>
        <name val="Calibri"/>
        <scheme val="minor"/>
      </font>
      <numFmt numFmtId="165" formatCode="_(* #,##0_);_(* \(#,##0\);_(* &quot;-&quot;??_);_(@_)"/>
      <alignment horizontal="general" vertical="center" textRotation="0" wrapText="0" indent="0" justifyLastLine="0" shrinkToFit="0" readingOrder="0"/>
      <border diagonalUp="0" diagonalDown="0" outline="0">
        <left style="thin">
          <color indexed="64"/>
        </left>
        <right style="thin">
          <color indexed="64"/>
        </right>
        <top style="medium">
          <color auto="1"/>
        </top>
        <bottom style="medium">
          <color auto="1"/>
        </bottom>
      </border>
      <protection locked="0" hidden="0"/>
    </dxf>
    <dxf>
      <font>
        <strike val="0"/>
        <outline val="0"/>
        <shadow val="0"/>
        <u val="none"/>
        <vertAlign val="baseline"/>
        <color theme="1"/>
        <name val="Calibri"/>
        <scheme val="minor"/>
      </font>
      <alignment horizontal="general" vertical="center" textRotation="0" wrapText="0" indent="0" justifyLastLine="0" shrinkToFit="0" readingOrder="0"/>
      <border diagonalUp="0" diagonalDown="0" outline="0">
        <left/>
        <right style="thin">
          <color indexed="64"/>
        </right>
        <top style="medium">
          <color auto="1"/>
        </top>
        <bottom style="medium">
          <color auto="1"/>
        </bottom>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border diagonalUp="0" diagonalDown="0">
        <left/>
        <right/>
        <top style="thin">
          <color indexed="64"/>
        </top>
        <bottom style="thin">
          <color indexed="64"/>
        </bottom>
      </border>
      <protection locked="1" hidden="0"/>
    </dxf>
    <dxf>
      <border>
        <top style="medium">
          <color indexed="64"/>
        </top>
      </border>
    </dxf>
    <dxf>
      <font>
        <strike val="0"/>
        <outline val="0"/>
        <shadow val="0"/>
        <u val="none"/>
        <vertAlign val="baseline"/>
        <color theme="1"/>
        <name val="Calibri"/>
        <scheme val="minor"/>
      </font>
      <border diagonalUp="0" diagonalDown="0" outline="0">
        <left style="thin">
          <color indexed="64"/>
        </left>
        <right style="thin">
          <color indexed="64"/>
        </right>
        <top/>
        <bottom/>
      </border>
    </dxf>
    <dxf>
      <border outline="0">
        <right style="medium">
          <color indexed="64"/>
        </right>
      </border>
    </dxf>
    <dxf>
      <font>
        <strike val="0"/>
        <outline val="0"/>
        <shadow val="0"/>
        <u val="none"/>
        <vertAlign val="baseline"/>
        <color theme="1"/>
        <name val="Calibri"/>
        <scheme val="minor"/>
      </font>
    </dxf>
    <dxf>
      <border>
        <bottom style="medium">
          <color indexed="64"/>
        </bottom>
      </border>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top style="medium">
          <color indexed="64"/>
        </top>
      </border>
    </dxf>
    <dxf>
      <alignment horizontal="center" vertical="center" textRotation="0" indent="0" justifyLastLine="0" shrinkToFit="0" readingOrder="0"/>
      <border diagonalUp="0" diagonalDown="0">
        <left style="thin">
          <color indexed="64"/>
        </left>
        <right style="thin">
          <color indexed="64"/>
        </right>
        <top/>
        <bottom/>
        <vertical style="thin">
          <color indexed="64"/>
        </vertical>
        <horizontal/>
      </border>
    </dxf>
    <dxf>
      <border outline="0">
        <right style="medium">
          <color indexed="64"/>
        </right>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border>
        <bottom style="medium">
          <color indexed="64"/>
        </bottom>
      </border>
    </dxf>
    <dxf>
      <font>
        <b/>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alignment vertical="center" textRotation="0" wrapText="0" indent="0" justifyLastLine="0" shrinkToFit="0" readingOrder="0"/>
    </dxf>
    <dxf>
      <font>
        <b/>
      </font>
    </dxf>
  </dxfs>
  <tableStyles count="1" defaultTableStyle="TableStyleMedium2" defaultPivotStyle="PivotStyleLight16">
    <tableStyle name="Invisible" pivot="0" table="0" count="0" xr9:uid="{0042A909-0D4D-4549-A413-50D5445A4548}"/>
  </tableStyles>
  <colors>
    <mruColors>
      <color rgb="FFFF6D6D"/>
      <color rgb="FFFF8B8B"/>
      <color rgb="FFFF9B9B"/>
      <color rgb="FF9999FF"/>
      <color rgb="FFFF9999"/>
      <color rgb="FFFFCC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HSP_Info" displayName="HSP_Info" ref="B5:D17" totalsRowShown="0" headerRowDxfId="252">
  <autoFilter ref="B5:D17" xr:uid="{00000000-0009-0000-0100-000001000000}">
    <filterColumn colId="0" hiddenButton="1"/>
    <filterColumn colId="1" hiddenButton="1"/>
    <filterColumn colId="2" hiddenButton="1"/>
  </autoFilter>
  <tableColumns count="3">
    <tableColumn id="1" xr3:uid="{00000000-0010-0000-0000-000001000000}" name="Index" dataDxfId="251"/>
    <tableColumn id="2" xr3:uid="{00000000-0010-0000-0000-000002000000}" name="Description" dataDxfId="250"/>
    <tableColumn id="3" xr3:uid="{00000000-0010-0000-0000-000003000000}" name="Details" dataDxfId="24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Surplus" displayName="Surplus" ref="B12:L28" totalsRowCount="1" headerRowDxfId="248" dataDxfId="246" totalsRowDxfId="244" headerRowBorderDxfId="247" tableBorderDxfId="245" totalsRowBorderDxfId="243">
  <autoFilter ref="B12:L27" xr:uid="{00000000-0009-0000-0100-000003000000}">
    <filterColumn colId="0" hiddenButton="1"/>
    <filterColumn colId="2"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5" xr3:uid="{00000000-0010-0000-0100-000005000000}" name="Add to Recoveries" totalsRowFunction="countNums" dataDxfId="73" totalsRowDxfId="10">
      <calculatedColumnFormula>IF(AND(Surplus[[#This Row],[Surplus]]&lt;&gt;0,COUNTIFS(Surplus[TPBE],Surplus[[#This Row],[TPBE]],Surplus[Functional Centre],Surplus[[#This Row],[Functional Centre]],Surplus[Index],"&lt;"&amp;Surplus[[#This Row],[Index]])=0),Surplus[[#This Row],[Index]],"")</calculatedColumnFormula>
    </tableColumn>
    <tableColumn id="9" xr3:uid="{00000000-0010-0000-0100-000009000000}" name="Surplus TPBE" dataDxfId="72" totalsRowDxfId="9">
      <calculatedColumnFormula>IF(AND(Surplus[[#This Row],[Surplus]]&lt;&gt;0,COUNTBLANK(Surplus[[#This Row],[TPBE]:[Functional Centre]])=0),Surplus[[#This Row],[Index]],"")</calculatedColumnFormula>
    </tableColumn>
    <tableColumn id="11" xr3:uid="{5A9B6635-A9ED-49E1-A84D-B7DB32F21DD4}" name="Surplus Drop-Down" dataDxfId="71" totalsRowDxfId="8">
      <calculatedColumnFormula>IF(AND(Surplus[[#This Row],[Surplus]]&lt;&gt;0,COUNTBLANK(Surplus[[#This Row],[TPBE]:[Functional Centre]])=0,_xlfn.IFNA(INDEX(#REF!,MATCH(Surplus[[#This Row],[TPBE]],TPBE[TPBE],0)),0)=1),Surplus[[#This Row],[Index]],"")</calculatedColumnFormula>
    </tableColumn>
    <tableColumn id="10" xr3:uid="{00000000-0010-0000-0100-00000A000000}" name="Sector" dataDxfId="70" totalsRowDxfId="7">
      <calculatedColumnFormula>IF(Surplus[[#This Row],[Surplus]]&lt;=0,"",_xlfn.IFNA(INDEX(TPBE[Group],MATCH(Surplus[[#This Row],[TPBE]],TPBE[TPBE],0)),""))</calculatedColumnFormula>
    </tableColumn>
    <tableColumn id="1" xr3:uid="{00000000-0010-0000-0100-000001000000}" name="Index" totalsRowFunction="countNums" dataDxfId="69" totalsRowDxfId="6">
      <calculatedColumnFormula>ROW()-ROW(Surplus[[#Headers],[Index]])</calculatedColumnFormula>
    </tableColumn>
    <tableColumn id="2" xr3:uid="{00000000-0010-0000-0100-000002000000}" name="TPBE" totalsRowLabel="Total Forecasted Surplus" dataDxfId="67" totalsRowDxfId="5"/>
    <tableColumn id="3" xr3:uid="{00000000-0010-0000-0100-000003000000}" name="Functional Centre" dataDxfId="66" totalsRowDxfId="4"/>
    <tableColumn id="13" xr3:uid="{A1185892-CAE5-460E-9287-7124289257FE}" name="Column2" dataDxfId="65" totalsRowDxfId="3"/>
    <tableColumn id="8" xr3:uid="{00000000-0010-0000-0100-000008000000}" name="Forecasted Surplus" totalsRowFunction="sum" dataDxfId="64" totalsRowDxfId="2" dataCellStyle="Currency"/>
    <tableColumn id="6" xr3:uid="{ED12D409-47E3-4E6F-8744-7ACFCB42E2EF}" name="Column3" dataDxfId="63" totalsRowDxfId="1" dataCellStyle="Currency"/>
    <tableColumn id="4" xr3:uid="{00000000-0010-0000-0100-000004000000}" name="Surplus" totalsRowFunction="sum" dataDxfId="62" totalsRowDxfId="0" dataCellStyle="Currency">
      <calculatedColumnFormula>Surplus[[#This Row],[Forecasted Surplus]]</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Requests" displayName="Requests" ref="G13:AI40" totalsRowCount="1" headerRowDxfId="242" dataDxfId="240" totalsRowDxfId="238" headerRowBorderDxfId="241" tableBorderDxfId="239" totalsRowBorderDxfId="237">
  <autoFilter ref="G13:AI39" xr:uid="{00000000-0009-0000-0100-000002000000}"/>
  <tableColumns count="29">
    <tableColumn id="20" xr3:uid="{00000000-0010-0000-0200-000014000000}" name="Reallocation Type" dataDxfId="61" totalsRowDxfId="39" dataCellStyle="Comma"/>
    <tableColumn id="2" xr3:uid="{00000000-0010-0000-0200-000002000000}" name="TPBE" dataDxfId="60" totalsRowDxfId="38"/>
    <tableColumn id="3" xr3:uid="{00000000-0010-0000-0200-000003000000}" name="FC" dataDxfId="59" totalsRowDxfId="37"/>
    <tableColumn id="4" xr3:uid="{00000000-0010-0000-0200-000004000000}" name="Description" dataDxfId="58" totalsRowDxfId="36"/>
    <tableColumn id="6" xr3:uid="{00000000-0010-0000-0200-000006000000}" name="Rationale" totalsRowLabel="Total Amount Reallocated" dataDxfId="57" totalsRowDxfId="35"/>
    <tableColumn id="5" xr3:uid="{00000000-0010-0000-0200-000005000000}" name="Amount" totalsRowFunction="custom" dataDxfId="56" totalsRowDxfId="34" dataCellStyle="Currency">
      <totalsRowFormula>SUMIFS(Requests[Adj. Amount],Requests[Adj. Amount],"&gt;0")</totalsRowFormula>
    </tableColumn>
    <tableColumn id="24" xr3:uid="{EE5D10F5-C4BB-4960-B9EE-D0093EDDF094}" name="Column4" dataDxfId="236" totalsRowDxfId="33" dataCellStyle="Currency">
      <calculatedColumnFormula>IF(LEN(Requests[[#This Row],[Amount]])&gt;=1,IF(LEN(Requests[[#This Row],[TPBE]])=0,"Amount entered without TPBE",IF(LEN(Requests[[#This Row],[FC]])=0,"Amount entered without a corresponding functional centre",IF(AND(Requests[[#This Row],[Reallocation Type]]="Reallocation",SUM(Requests[[#This Row],[Adj. Amount]],Requests[[#This Row],[Column3]])&lt;0),"Not enough surplus in TPBE for selected reallocation",IF(AND(Requests[[#This Row],[Reallocation Type]]="Request",Requests[[#This Row],[Amount]]&gt;Requests[[#This Row],[Column2]]),"Not enough surplus available to support request","Good")))),"")</calculatedColumnFormula>
    </tableColumn>
    <tableColumn id="7" xr3:uid="{00000000-0010-0000-0200-000007000000}" name="FTE" totalsRowFunction="sum" dataDxfId="235" totalsRowDxfId="32" dataCellStyle="Comma"/>
    <tableColumn id="8" xr3:uid="{00000000-0010-0000-0200-000008000000}" name="Visits " totalsRowFunction="sum" dataDxfId="234" totalsRowDxfId="31" dataCellStyle="Comma"/>
    <tableColumn id="9" xr3:uid="{00000000-0010-0000-0200-000009000000}" name="NUISRI" totalsRowFunction="sum" dataDxfId="233" totalsRowDxfId="30" dataCellStyle="Comma"/>
    <tableColumn id="10" xr3:uid="{00000000-0010-0000-0200-00000A000000}" name="HoC" totalsRowFunction="sum" dataDxfId="232" totalsRowDxfId="29" dataCellStyle="Comma"/>
    <tableColumn id="11" xr3:uid="{00000000-0010-0000-0200-00000B000000}" name="Inpatient" totalsRowFunction="sum" dataDxfId="231" totalsRowDxfId="28" dataCellStyle="Comma"/>
    <tableColumn id="12" xr3:uid="{00000000-0010-0000-0200-00000C000000}" name="IS" totalsRowFunction="sum" dataDxfId="230" totalsRowDxfId="27" dataCellStyle="Comma"/>
    <tableColumn id="13" xr3:uid="{00000000-0010-0000-0200-00000D000000}" name="AD" totalsRowFunction="sum" dataDxfId="229" totalsRowDxfId="26" dataCellStyle="Comma"/>
    <tableColumn id="14" xr3:uid="{00000000-0010-0000-0200-00000E000000}" name="GS" totalsRowFunction="sum" dataDxfId="228" totalsRowDxfId="25" dataCellStyle="Comma"/>
    <tableColumn id="15" xr3:uid="{00000000-0010-0000-0200-00000F000000}" name="MD-C" totalsRowFunction="sum" dataDxfId="227" totalsRowDxfId="24" dataCellStyle="Comma"/>
    <tableColumn id="16" xr3:uid="{00000000-0010-0000-0200-000010000000}" name="CPA" totalsRowFunction="sum" dataDxfId="226" totalsRowDxfId="23" dataCellStyle="Comma"/>
    <tableColumn id="17" xr3:uid="{00000000-0010-0000-0200-000011000000}" name="SPI" totalsRowFunction="sum" dataDxfId="225" totalsRowDxfId="22" dataCellStyle="Comma"/>
    <tableColumn id="18" xr3:uid="{00000000-0010-0000-0200-000012000000}" name="SPGI" totalsRowFunction="sum" dataDxfId="224" totalsRowDxfId="21" dataCellStyle="Comma"/>
    <tableColumn id="19" xr3:uid="{00000000-0010-0000-0200-000013000000}" name="MHS" totalsRowFunction="sum" dataDxfId="223" totalsRowDxfId="20" dataCellStyle="Comma"/>
    <tableColumn id="21" xr3:uid="{00000000-0010-0000-0200-000015000000}" name="Adj. Amount" dataDxfId="222" totalsRowDxfId="19" dataCellStyle="Currency">
      <calculatedColumnFormula>CHOOSE(_xlfn.IFNA(MATCH(Requests[[#This Row],[Reallocation Type]],{"Reallocation","Request"},0),2),-1,1)*ABS(Requests[[#This Row],[Amount]])</calculatedColumnFormula>
    </tableColumn>
    <tableColumn id="23" xr3:uid="{30041E9E-BF3C-499A-9B90-E64EFBFCA7C7}" name="Column3" dataDxfId="221" totalsRowDxfId="18" dataCellStyle="Currency">
      <calculatedColumnFormula>IF(Requests[[#This Row],[Reallocation Type]]="Reallocation",SUMIFS(Surplus[Surplus],Surplus[TPBE],Requests[[#This Row],[TPBE]],Surplus[Functional Centre],Requests[[#This Row],[FC]]),"")</calculatedColumnFormula>
    </tableColumn>
    <tableColumn id="26" xr3:uid="{EFA172C9-D720-4736-B322-048A9FF79939}" name="Sector" dataDxfId="220" totalsRowDxfId="17" dataCellStyle="Comma">
      <calculatedColumnFormula>_xlfn.IFNA(INDEX(TPBE[Group],MATCH(Requests[[#This Row],[TPBE]],TPBE[TPBE],0)),"")</calculatedColumnFormula>
    </tableColumn>
    <tableColumn id="27" xr3:uid="{1E83636E-088E-4322-8511-33C238D1C629}" name="Surplus_Start" dataDxfId="219" totalsRowDxfId="16" dataCellStyle="Comma">
      <calculatedColumnFormula>SUMIFS(TPBE[FC Surplus Amount],TPBE[Group],Requests[[#This Row],[Sector]])</calculatedColumnFormula>
    </tableColumn>
    <tableColumn id="22" xr3:uid="{328ABE9E-4A8B-416D-B9E6-040E06F382A0}" name="Column2" dataDxfId="218" totalsRowDxfId="15" dataCellStyle="Comma">
      <calculatedColumnFormula>-SUMIFS(Requests[Adj. Amount],Requests[Sector],Requests[[#This Row],[Sector]],Requests[Adj. Amount],"&lt;0")</calculatedColumnFormula>
    </tableColumn>
    <tableColumn id="28" xr3:uid="{D425C1B4-99E4-4C65-96DD-9EA058B594AE}" name="Surplus_Used" dataDxfId="217" totalsRowDxfId="14" dataCellStyle="Comma">
      <calculatedColumnFormula>SUMIFS(Requests[Adj. Amount],Requests[Adj. Amount],"&gt;0",Requests[Sector],Requests[[#This Row],[Sector]])</calculatedColumnFormula>
    </tableColumn>
    <tableColumn id="29" xr3:uid="{5B1BC4F8-1F91-437A-A9A0-C62327FDECFE}" name="Check_TPBE_Group_Surplus" dataDxfId="216" totalsRowDxfId="13" dataCellStyle="Comma">
      <calculatedColumnFormula>SUMIFS(Requests[Adj. Amount],Requests[Adj. Amount],"&gt;0",Requests[Sector],Requests[[#This Row],[Sector]],Requests[Sector],"&lt;&gt;")&lt;=SUMIFS(Surplus[Surplus],Surplus[Sector],Requests[[#This Row],[Sector]])</calculatedColumnFormula>
    </tableColumn>
    <tableColumn id="30" xr3:uid="{F88D22F7-09A7-4635-9F5E-E9B2B5C46F9D}" name="Index" dataDxfId="215" totalsRowDxfId="12" dataCellStyle="Comma">
      <calculatedColumnFormula>ROW()-ROW(AH12)</calculatedColumnFormula>
    </tableColumn>
    <tableColumn id="1" xr3:uid="{B337C837-6A4D-42E0-9AD3-A5845767373E}" name="Column1" dataDxfId="214" totalsRowDxfId="11" dataCellStyle="Comma">
      <calculatedColumnFormula>COUNTBLANK(Requests[[#This Row],[Reallocation Type]:[Amount]])&lt;=1</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PBE_Surplus" displayName="TPBE_Surplus" ref="B13:E25" totalsRowCount="1" headerRowDxfId="213" dataDxfId="212" totalsRowDxfId="211" totalsRowBorderDxfId="210">
  <autoFilter ref="B13:E24" xr:uid="{00000000-0009-0000-0100-00000C000000}">
    <filterColumn colId="0" hiddenButton="1"/>
    <filterColumn colId="1" hiddenButton="1"/>
    <filterColumn colId="2" hiddenButton="1"/>
    <filterColumn colId="3" hiddenButton="1"/>
  </autoFilter>
  <sortState xmlns:xlrd2="http://schemas.microsoft.com/office/spreadsheetml/2017/richdata2" ref="B14:E24">
    <sortCondition ref="B15:B24"/>
  </sortState>
  <tableColumns count="4">
    <tableColumn id="1" xr3:uid="{00000000-0010-0000-0500-000001000000}" name="Sector" totalsRowLabel="Total" dataDxfId="209" totalsRowDxfId="208"/>
    <tableColumn id="2" xr3:uid="{00000000-0010-0000-0500-000002000000}" name="FC Surplus" totalsRowFunction="sum" dataDxfId="207" totalsRowDxfId="206" dataCellStyle="Currency">
      <calculatedColumnFormula>SUMIFS(Surplus[Surplus],Surplus[Sector],TPBE_Surplus[[#This Row],[Sector]])</calculatedColumnFormula>
    </tableColumn>
    <tableColumn id="3" xr3:uid="{00000000-0010-0000-0500-000003000000}" name="Reallocated" totalsRowFunction="sum" dataDxfId="205" totalsRowDxfId="204" dataCellStyle="Currency">
      <calculatedColumnFormula>SUMIFS(Requests[Adj. Amount],Requests[Sector],TPBE_Surplus[[#This Row],[Sector]],Requests[Adj. Amount],"&gt;0")</calculatedColumnFormula>
    </tableColumn>
    <tableColumn id="4" xr3:uid="{00000000-0010-0000-0500-000004000000}" name="Recovery" totalsRowFunction="sum" dataDxfId="203" totalsRowDxfId="202" dataCellStyle="Currency">
      <calculatedColumnFormula>TPBE_Surplus[[#This Row],[FC Surplus]]-TPBE_Surplus[[#This Row],[Reallocated]]</calculatedColumnFormula>
    </tableColumn>
  </tableColumns>
  <tableStyleInfo name="TableStyleMedium1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B80A5B8-A4E8-4410-8D5D-4C710963B136}" name="Recovery_Helper" displayName="Recovery_Helper" ref="L44:V67" totalsRowShown="0" headerRowDxfId="201" dataDxfId="200" dataCellStyle="Comma">
  <autoFilter ref="L44:V67" xr:uid="{1B80A5B8-A4E8-4410-8D5D-4C710963B136}"/>
  <sortState xmlns:xlrd2="http://schemas.microsoft.com/office/spreadsheetml/2017/richdata2" ref="L45:Q57">
    <sortCondition ref="L57:L70"/>
  </sortState>
  <tableColumns count="11">
    <tableColumn id="8" xr3:uid="{9B17219A-702D-4315-A88D-18009BCC9807}" name="Check Line" dataDxfId="199" dataCellStyle="Currency">
      <calculatedColumnFormula>Recovery_Helper[[#This Row],[Index]]&lt;=Count_Recoveries_New</calculatedColumnFormula>
    </tableColumn>
    <tableColumn id="1" xr3:uid="{460B84C9-EDE6-44AF-8FED-2902454E3911}" name="Index" dataDxfId="198">
      <calculatedColumnFormula>ROW()-ROW(Recovery_Helper[[#Headers],[Index]])</calculatedColumnFormula>
    </tableColumn>
    <tableColumn id="2" xr3:uid="{4195FAB3-DC7E-4496-B593-2465E28B5D5D}" name="TPBE" dataDxfId="197">
      <calculatedColumnFormula>IF(Recovery_Helper[[#This Row],[Check Line]],T(INDEX(CHOOSE(Recovery_Helper[[#This Row],[Table]],Surplus[TPBE],Requests[TPBE]),Recovery_Helper[[#This Row],[Table Unique Index]])),"")</calculatedColumnFormula>
    </tableColumn>
    <tableColumn id="7" xr3:uid="{2C1A771C-9778-4F9E-B971-DCB4883F8BAB}" name="Functional Centre" dataDxfId="196">
      <calculatedColumnFormula>IF(Recovery_Helper[[#This Row],[Check Line]],T(INDEX(CHOOSE(Recovery_Helper[[#This Row],[Table]],Surplus[Functional Centre],Requests[FC]),Recovery_Helper[[#This Row],[Table Unique Index]])),"")</calculatedColumnFormula>
    </tableColumn>
    <tableColumn id="3" xr3:uid="{E13580FF-99D0-48F0-BC83-6B2BE76E67B5}" name="Forecasted Surplus" dataDxfId="195" dataCellStyle="Currency">
      <calculatedColumnFormula>SUMIFS(Surplus[Surplus],Surplus[TPBE],Recovery_Helper[[#This Row],[TPBE]],Surplus[Functional Centre],Recovery_Helper[[#This Row],[Functional Centre]])</calculatedColumnFormula>
    </tableColumn>
    <tableColumn id="4" xr3:uid="{A3A9F848-8C42-415F-BEF3-E323A96D4E39}" name="Surplus Usage Request" dataDxfId="194" dataCellStyle="Currency">
      <calculatedColumnFormula>IF(Recovery_Helper[[#This Row],[Check Line]],IF(COUNTBLANK(Recovery_Helper[[#This Row],[TPBE]:[Functional Centre]])=0,-1*SUMIFS(Requests[Adj. Amount],Requests[TPBE],Recovery_Helper[[#This Row],[TPBE]],Requests[FC],Recovery_Helper[[#This Row],[Functional Centre]],Requests[Adj. Amount],"&lt;0"),0),0)</calculatedColumnFormula>
    </tableColumn>
    <tableColumn id="5" xr3:uid="{FA92B07C-0548-40E0-A3D2-DD67B112EB05}" name="Amount to Recover" dataDxfId="193" dataCellStyle="Currency">
      <calculatedColumnFormula>Recovery_Helper[[#This Row],[Forecasted Surplus]]-Recovery_Helper[[#This Row],[Surplus Usage Request]]</calculatedColumnFormula>
    </tableColumn>
    <tableColumn id="6" xr3:uid="{B761CD9E-21B8-4A0A-BC57-779390FAFE61}" name="Recovery Index" dataDxfId="192" dataCellStyle="Currency">
      <calculatedColumnFormula>IF(Recovery_Helper[[#This Row],[Check Line]],Recovery_Helper[[#This Row],[Index]],"")</calculatedColumnFormula>
    </tableColumn>
    <tableColumn id="9" xr3:uid="{81275436-BBBF-4882-810E-303FE3B6427E}" name="Table" dataDxfId="191" dataCellStyle="Comma">
      <calculatedColumnFormula>IF(Recovery_Helper[[#This Row],[Check Line]],IF(Recovery_Helper[[#This Row],[Index]]&lt;=Surplus[[#Totals],[Add to Recoveries]],1,2),"")</calculatedColumnFormula>
    </tableColumn>
    <tableColumn id="11" xr3:uid="{2A443EE3-1D80-4A0B-B608-1C63F1030C4B}" name="Table Index" dataDxfId="190" dataCellStyle="Comma">
      <calculatedColumnFormula>IF(Recovery_Helper[[#This Row],[Check Line]],COUNTIFS(Recovery_Helper[Table],Recovery_Helper[[#This Row],[Table]],Recovery_Helper[Index],"&lt;="&amp;Recovery_Helper[[#This Row],[Index]]),"")</calculatedColumnFormula>
    </tableColumn>
    <tableColumn id="10" xr3:uid="{8419E2C5-9603-4E99-A6EC-3C254BAB2C00}" name="Table Unique Index" dataDxfId="189" dataCellStyle="Comma">
      <calculatedColumnFormula>IF(Recovery_Helper[[#This Row],[Check Line]],SMALL(CHOOSE(Recovery_Helper[[#This Row],[Table]],Surplus[Add to Recoveries],Requests[Reallocation Type]),Recovery_Helper[[#This Row],[Table Index]]),"")</calculatedColumnFormula>
    </tableColumn>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56BF210D-F026-4EA4-AEB4-67C0DCBF40E6}" name="Recoveries" displayName="Recoveries" ref="L15:AG40" totalsRowCount="1" headerRowDxfId="188" dataDxfId="187" tableBorderDxfId="186" dataCellStyle="Comma">
  <autoFilter ref="L15:AG39" xr:uid="{56BF210D-F026-4EA4-AEB4-67C0DCBF40E6}"/>
  <tableColumns count="22">
    <tableColumn id="2" xr3:uid="{0B1FB1B6-8F94-487A-A2E1-4E02B621B3BE}" name="TPBE" totalsRowLabel="Total" dataDxfId="185" totalsRowDxfId="184">
      <calculatedColumnFormula>IF(LEN(Recoveries[[#This Row],[Lookup ID]])=0,"",INDEX(Recovery_Helper[TPBE],MATCH(Recoveries[[#This Row],[Lookup ID]],Recovery_Helper[Recovery Index],0)))</calculatedColumnFormula>
    </tableColumn>
    <tableColumn id="3" xr3:uid="{8931FD41-E865-43B0-8677-561089241156}" name="FC" dataDxfId="183" totalsRowDxfId="182" dataCellStyle="Currency">
      <calculatedColumnFormula>IF(LEN(Recoveries[[#This Row],[Lookup ID]])=0,"",INDEX(Recovery_Helper[Functional Centre],MATCH(Recoveries[[#This Row],[Lookup ID]],Recovery_Helper[Recovery Index],0)))</calculatedColumnFormula>
    </tableColumn>
    <tableColumn id="4" xr3:uid="{972361A9-04C0-4614-81D5-17EABF401212}" name="Forecasted Surplus" totalsRowFunction="sum" dataDxfId="181" totalsRowDxfId="180" dataCellStyle="Currency">
      <calculatedColumnFormula>IF(Recoveries[[#This Row],[Lookup ID]]="","",SUMIFS(Recovery_Helper[Forecasted Surplus],Recovery_Helper[TPBE],Recoveries[[#This Row],[TPBE]],Recovery_Helper[Functional Centre],Recoveries[[#This Row],[FC]]))</calculatedColumnFormula>
    </tableColumn>
    <tableColumn id="5" xr3:uid="{A2DE00C3-9908-4A9F-A40E-8F1557F9A252}" name="Surplus Requested" totalsRowFunction="sum" dataDxfId="179" totalsRowDxfId="178" dataCellStyle="Currency">
      <calculatedColumnFormula>IF(Recoveries[[#This Row],[Lookup ID]]="","",SUMIFS(Recovery_Helper[Surplus Usage Request],Recovery_Helper[TPBE],Recoveries[[#This Row],[TPBE]],Recovery_Helper[Functional Centre],Recoveries[[#This Row],[FC]]))</calculatedColumnFormula>
    </tableColumn>
    <tableColumn id="7" xr3:uid="{ABBC110A-D3F5-49CB-A797-2218DD0222E4}" name="Recovery Amount" totalsRowFunction="sum" dataDxfId="177" totalsRowDxfId="176" dataCellStyle="Currency">
      <calculatedColumnFormula>IF(Recoveries[[#This Row],[Lookup ID]]="","",MAX(Recoveries[[#This Row],[Forecasted Surplus]]-Recoveries[[#This Row],[Surplus Requested]],0))</calculatedColumnFormula>
    </tableColumn>
    <tableColumn id="21" xr3:uid="{771A0FE3-D92E-417C-8B8F-1C171FBB571E}" name="Rationale" dataDxfId="175" totalsRowDxfId="174" dataCellStyle="Currency">
      <calculatedColumnFormula array="1">IF(COUNTBLANK(Recoveries[[#This Row],[TPBE]:[FC]])=0,T(INDEX(_xlfn._xlws.FILTER(Surplus[Column3],(--(Surplus[TPBE]=Recoveries[[#This Row],[TPBE]]))*(--(Surplus[Functional Centre]=Recoveries[[#This Row],[FC]]))),1)),"")</calculatedColumnFormula>
    </tableColumn>
    <tableColumn id="8" xr3:uid="{F60930F5-ADD2-4CF4-AF17-84E69DDDDF76}" name="FTE" dataDxfId="173" totalsRowDxfId="172" dataCellStyle="Comma"/>
    <tableColumn id="9" xr3:uid="{96C98578-CF20-49BC-BFA4-F3A961709221}" name="Visits " dataDxfId="171" totalsRowDxfId="170" dataCellStyle="Comma"/>
    <tableColumn id="10" xr3:uid="{C2620E51-8047-4E7A-A286-1A47A3E4CCCC}" name="NUISRI" dataDxfId="169" totalsRowDxfId="168" dataCellStyle="Comma"/>
    <tableColumn id="11" xr3:uid="{86EB1503-BF89-428C-9802-A4CFA9378172}" name="HoC" dataDxfId="167" totalsRowDxfId="166" dataCellStyle="Comma"/>
    <tableColumn id="12" xr3:uid="{11052F4E-2516-49F8-8855-5BA1AD5D972D}" name="Inpatient" dataDxfId="165" totalsRowDxfId="164" dataCellStyle="Comma"/>
    <tableColumn id="13" xr3:uid="{5D856DA9-2DCF-49D1-98F4-157CD3BCAD73}" name="IS" dataDxfId="163" totalsRowDxfId="162" dataCellStyle="Comma"/>
    <tableColumn id="14" xr3:uid="{35B79724-4851-4A17-9D4F-41B68DCCF316}" name="AD" dataDxfId="161" totalsRowDxfId="160" dataCellStyle="Comma"/>
    <tableColumn id="15" xr3:uid="{E47D3C3E-C801-4752-BDD9-0AD848566301}" name="GS" dataDxfId="159" totalsRowDxfId="158" dataCellStyle="Comma"/>
    <tableColumn id="16" xr3:uid="{E04C257E-FCA3-4EC0-BE44-D670AE03B95E}" name="MD-C" dataDxfId="157" totalsRowDxfId="156" dataCellStyle="Comma"/>
    <tableColumn id="17" xr3:uid="{D78DA7D9-C466-4058-9B36-F30804122C87}" name="CPA" dataDxfId="155" totalsRowDxfId="154" dataCellStyle="Comma"/>
    <tableColumn id="18" xr3:uid="{9D614B49-5F73-4CD9-AE56-ED2390D811DE}" name="SPI" dataDxfId="153" totalsRowDxfId="152" dataCellStyle="Comma"/>
    <tableColumn id="19" xr3:uid="{9ECDF247-D1CA-4287-AF75-B47FB16B44E1}" name="SPGI" dataDxfId="151" totalsRowDxfId="150" dataCellStyle="Comma"/>
    <tableColumn id="20" xr3:uid="{5A957745-3B8E-4761-87D9-D4D71248C600}" name="MHS" totalsRowFunction="count" dataDxfId="149" totalsRowDxfId="148" dataCellStyle="Comma"/>
    <tableColumn id="6" xr3:uid="{0521092D-DF32-44CC-B7BD-1A09A44B40C1}" name="Lookup ID" dataDxfId="147" totalsRowDxfId="146" dataCellStyle="Comma">
      <calculatedColumnFormula>IF(COUNT(Recovery_Helper[Recovery Index])&lt;Recoveries[[#This Row],[Index]],"",SMALL(Recovery_Helper[Recovery Index],Recoveries[[#This Row],[Index]]))</calculatedColumnFormula>
    </tableColumn>
    <tableColumn id="1" xr3:uid="{43655DE1-B42A-47D6-B6D4-85AA8DFBF527}" name="Index" dataDxfId="145" totalsRowDxfId="144" dataCellStyle="Comma">
      <calculatedColumnFormula>ROW()-ROW(Recoveries[[#Headers],[Index]])</calculatedColumnFormula>
    </tableColumn>
    <tableColumn id="22" xr3:uid="{D4969DFA-7CE2-4A66-8CC5-455B251A84EF}" name="Check Data" dataDxfId="143" dataCellStyle="Comma">
      <calculatedColumnFormula>COUNTBLANK(Recoveries[[#This Row],[TPBE]:[Recovery Amount]])=0</calculatedColumnFormula>
    </tableColumn>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OHRS" displayName="OHRS" ref="A2:P216" totalsRowShown="0" headerRowDxfId="142">
  <autoFilter ref="A2:P216"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600-000001000000}" name="Functional Centre Name and Number"/>
    <tableColumn id="2" xr3:uid="{00000000-0010-0000-0600-000002000000}" name="FC #"/>
    <tableColumn id="3" xr3:uid="{00000000-0010-0000-0600-000003000000}" name="Full-time equivalents (FTE)" dataDxfId="141"/>
    <tableColumn id="4" xr3:uid="{00000000-0010-0000-0600-000004000000}" name="Visits" dataDxfId="140"/>
    <tableColumn id="5" xr3:uid="{00000000-0010-0000-0600-000005000000}" name="Not Uniquely Identified Service Recipient Interactions" dataDxfId="139"/>
    <tableColumn id="6" xr3:uid="{00000000-0010-0000-0600-000006000000}" name="Hours of Care" dataDxfId="138"/>
    <tableColumn id="7" xr3:uid="{00000000-0010-0000-0600-000007000000}" name="Inpatient/Resident Days" dataDxfId="137"/>
    <tableColumn id="8" xr3:uid="{00000000-0010-0000-0600-000008000000}" name="Individuals Served by Functional Centre" dataDxfId="136"/>
    <tableColumn id="9" xr3:uid="{00000000-0010-0000-0600-000009000000}" name="Attendance Days" dataDxfId="135"/>
    <tableColumn id="10" xr3:uid="{00000000-0010-0000-0600-00000A000000}" name="Group Sessions" dataDxfId="134"/>
    <tableColumn id="11" xr3:uid="{00000000-0010-0000-0600-00000B000000}" name="Meal Delivered-Combined" dataDxfId="133"/>
    <tableColumn id="12" xr3:uid="{00000000-0010-0000-0600-00000C000000}" name="Total Cost for Functional Centre" dataDxfId="132"/>
    <tableColumn id="13" xr3:uid="{00000000-0010-0000-0600-00000D000000}" name="Group Participant Attendances" dataDxfId="131"/>
    <tableColumn id="14" xr3:uid="{00000000-0010-0000-0600-00000E000000}" name="Service Provider Interactions" dataDxfId="130"/>
    <tableColumn id="15" xr3:uid="{00000000-0010-0000-0600-00000F000000}" name="Service Provider Group Interactions" dataDxfId="129"/>
    <tableColumn id="16" xr3:uid="{00000000-0010-0000-0600-000010000000}" name="Mental Health Sessions" dataDxfId="128"/>
  </tableColumns>
  <tableStyleInfo name="TableStyleMedium1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8000000}" name="TPBE" displayName="TPBE" ref="A3:K19" totalsRowCount="1" headerRowDxfId="127">
  <autoFilter ref="A3:K18" xr:uid="{00000000-0009-0000-0100-000005000000}"/>
  <sortState xmlns:xlrd2="http://schemas.microsoft.com/office/spreadsheetml/2017/richdata2" ref="B4:F18">
    <sortCondition ref="B3:B18"/>
  </sortState>
  <tableColumns count="11">
    <tableColumn id="8" xr3:uid="{00000000-0010-0000-0800-000008000000}" name="Index" totalsRowLabel="Total" dataDxfId="126">
      <calculatedColumnFormula>ROW()-ROW(TPBE[[#Headers],[Index]])</calculatedColumnFormula>
    </tableColumn>
    <tableColumn id="1" xr3:uid="{00000000-0010-0000-0800-000001000000}" name="TPBE"/>
    <tableColumn id="2" xr3:uid="{00000000-0010-0000-0800-000002000000}" name="Description"/>
    <tableColumn id="3" xr3:uid="{00000000-0010-0000-0800-000003000000}" name="Group"/>
    <tableColumn id="4" xr3:uid="{00000000-0010-0000-0800-000004000000}" name="Group Num" dataDxfId="125" totalsRowDxfId="124">
      <calculatedColumnFormula>MATCH(TPBE[[#This Row],[Group]],TPBE_Surplus[Sector],0)</calculatedColumnFormula>
    </tableColumn>
    <tableColumn id="16" xr3:uid="{28082A6F-E6C2-46E5-92CA-8610A51BE667}" name="FC Surplus Amount" totalsRowFunction="sum" dataDxfId="123" totalsRowDxfId="122" dataCellStyle="Currency">
      <calculatedColumnFormula>SUMIFS(Surplus[Forecasted Surplus],Surplus[TPBE],TPBE[[#This Row],[TPBE]])</calculatedColumnFormula>
    </tableColumn>
    <tableColumn id="26" xr3:uid="{530C7FFC-ADB4-454A-A3BC-43901AB373A4}" name="Reallocation DD Check" dataDxfId="121" totalsRowDxfId="120" dataCellStyle="Currency">
      <calculatedColumnFormula>TPBE[[#This Row],[FC Surplus Amount]]&lt;&gt;0</calculatedColumnFormula>
    </tableColumn>
    <tableColumn id="27" xr3:uid="{7893557C-DF12-4C04-8812-D43F757DB63C}" name="Request DD Check" dataDxfId="119" totalsRowDxfId="118" dataCellStyle="Currency">
      <calculatedColumnFormula>SUMIFS(TPBE[FC Surplus Amount],TPBE[Group],TPBE[[#This Row],[Group]])&lt;&gt;0</calculatedColumnFormula>
    </tableColumn>
    <tableColumn id="28" xr3:uid="{B8B4E56F-8316-4C7C-A0AD-51EBFBAC0BD8}" name="Reallocation DD" dataDxfId="117" totalsRowDxfId="116" dataCellStyle="Currency">
      <calculatedColumnFormula array="1">IF(TPBE[[#This Row],[Index]]&gt;COUNTIFS(TPBE[Reallocation DD Check],TRUE),"",INDEX(_xlfn._xlws.FILTER(TPBE[TPBE],TPBE[Reallocation DD Check]),TPBE[[#This Row],[Index]]))</calculatedColumnFormula>
    </tableColumn>
    <tableColumn id="30" xr3:uid="{ECCA0F6B-9C5B-4F0B-BC16-A1CCBB4D6CBC}" name="Request DD" dataDxfId="115" totalsRowDxfId="114" dataCellStyle="Currency">
      <calculatedColumnFormula array="1">IF(TPBE[[#This Row],[Index]]&gt;COUNTIFS(TPBE[Request DD Check],TRUE),"",INDEX(_xlfn._xlws.FILTER(TPBE[TPBE],TPBE[Request DD Check]),TPBE[[#This Row],[Index]]))</calculatedColumnFormula>
    </tableColumn>
    <tableColumn id="19" xr3:uid="{FB300642-22A9-448A-AA09-97ACAD1DA85B}" name="Restricted DD List" totalsRowFunction="count" dataDxfId="113"/>
  </tableColumns>
  <tableStyleInfo name="TableStyleMedium1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04901B9-748B-4FC1-A6F0-C7FAD0CE54C4}" name="Table4" displayName="Table4" ref="M3:AB18" totalsRowShown="0" headerRowDxfId="112">
  <autoFilter ref="M3:AB18" xr:uid="{704901B9-748B-4FC1-A6F0-C7FAD0CE54C4}"/>
  <tableColumns count="16">
    <tableColumn id="16" xr3:uid="{CC412A01-B960-4D3B-9AA7-2CDF20CDC55B}" name="Index" dataDxfId="111">
      <calculatedColumnFormula>ROW()-ROW(Table4[[#Headers],[Index]])</calculatedColumnFormula>
    </tableColumn>
    <tableColumn id="1" xr3:uid="{5104B013-880A-484E-B933-2F8740E778CD}" name="ABI" dataDxfId="110">
      <calculatedColumnFormula array="1">IF(Table4[[#This Row],[Index]]&lt;=COUNTIFS(Surplus[TPBE],INDEX(Table4[#Headers],SUM(COLUMN()-COLUMN(Table4[[#Headers],[Index]]),1))),T(INDEX(_xlfn._xlws.FILTER(Surplus[Functional Centre],Surplus[TPBE]=INDEX(Table4[#Headers],SUM(COLUMN()-COLUMN(Table4[[#Headers],[Index]]),1))),Table4[[#This Row],[Index]])),"")</calculatedColumnFormula>
    </tableColumn>
    <tableColumn id="2" xr3:uid="{254BED6E-F10E-40A7-9CB7-DD93C2318381}" name="AO" dataDxfId="109">
      <calculatedColumnFormula array="1">IF(Table4[[#This Row],[Index]]&lt;=COUNTIFS(Surplus[TPBE],INDEX(Table4[#Headers],SUM(COLUMN()-COLUMN(Table4[[#Headers],[Index]]),1))),T(INDEX(_xlfn._xlws.FILTER(Surplus[Functional Centre],Surplus[TPBE]=INDEX(Table4[#Headers],SUM(COLUMN()-COLUMN(Table4[[#Headers],[Index]]),1))),Table4[[#This Row],[Index]])),"")</calculatedColumnFormula>
    </tableColumn>
    <tableColumn id="3" xr3:uid="{3A0344F8-9F76-4A06-836E-B22361161249}" name="CHC" dataDxfId="108">
      <calculatedColumnFormula array="1">IF(Table4[[#This Row],[Index]]&lt;=COUNTIFS(Surplus[TPBE],INDEX(Table4[#Headers],SUM(COLUMN()-COLUMN(Table4[[#Headers],[Index]]),1))),T(INDEX(_xlfn._xlws.FILTER(Surplus[Functional Centre],Surplus[TPBE]=INDEX(Table4[#Headers],SUM(COLUMN()-COLUMN(Table4[[#Headers],[Index]]),1))),Table4[[#This Row],[Index]])),"")</calculatedColumnFormula>
    </tableColumn>
    <tableColumn id="4" xr3:uid="{3F0C1141-67EC-4608-8DE9-B4483DF5E61D}" name="CHC - Non-Insured" dataDxfId="107">
      <calculatedColumnFormula array="1">IF(Table4[[#This Row],[Index]]&lt;=COUNTIFS(Surplus[TPBE],INDEX(Table4[#Headers],SUM(COLUMN()-COLUMN(Table4[[#Headers],[Index]]),1))),T(INDEX(_xlfn._xlws.FILTER(Surplus[Functional Centre],Surplus[TPBE]=INDEX(Table4[#Headers],SUM(COLUMN()-COLUMN(Table4[[#Headers],[Index]]),1))),Table4[[#This Row],[Index]])),"")</calculatedColumnFormula>
    </tableColumn>
    <tableColumn id="5" xr3:uid="{AE50C8E5-9B95-4626-81B4-38620957747C}" name="CHC - Physician" dataDxfId="106">
      <calculatedColumnFormula array="1">IF(Table4[[#This Row],[Index]]&lt;=COUNTIFS(Surplus[TPBE],INDEX(Table4[#Headers],SUM(COLUMN()-COLUMN(Table4[[#Headers],[Index]]),1))),T(INDEX(_xlfn._xlws.FILTER(Surplus[Functional Centre],Surplus[TPBE]=INDEX(Table4[#Headers],SUM(COLUMN()-COLUMN(Table4[[#Headers],[Index]]),1))),Table4[[#This Row],[Index]])),"")</calculatedColumnFormula>
    </tableColumn>
    <tableColumn id="6" xr3:uid="{67B264B4-7485-40F9-9A0B-3FFD3F944E4C}" name="CMH" dataDxfId="105">
      <calculatedColumnFormula array="1">IF(Table4[[#This Row],[Index]]&lt;=COUNTIFS(Surplus[TPBE],INDEX(Table4[#Headers],SUM(COLUMN()-COLUMN(Table4[[#Headers],[Index]]),1))),T(INDEX(_xlfn._xlws.FILTER(Surplus[Functional Centre],Surplus[TPBE]=INDEX(Table4[#Headers],SUM(COLUMN()-COLUMN(Table4[[#Headers],[Index]]),1))),Table4[[#This Row],[Index]])),"")</calculatedColumnFormula>
    </tableColumn>
    <tableColumn id="7" xr3:uid="{B9396202-D220-4BC3-A8CB-53F70A5B7214}" name="CMHP" dataDxfId="104">
      <calculatedColumnFormula array="1">IF(Table4[[#This Row],[Index]]&lt;=COUNTIFS(Surplus[TPBE],INDEX(Table4[#Headers],SUM(COLUMN()-COLUMN(Table4[[#Headers],[Index]]),1))),T(INDEX(_xlfn._xlws.FILTER(Surplus[Functional Centre],Surplus[TPBE]=INDEX(Table4[#Headers],SUM(COLUMN()-COLUMN(Table4[[#Headers],[Index]]),1))),Table4[[#This Row],[Index]])),"")</calculatedColumnFormula>
    </tableColumn>
    <tableColumn id="8" xr3:uid="{A9E9A53A-ABF1-4E52-B98A-02AA34245206}" name="CSS" dataDxfId="103">
      <calculatedColumnFormula array="1">IF(Table4[[#This Row],[Index]]&lt;=COUNTIFS(Surplus[TPBE],INDEX(Table4[#Headers],SUM(COLUMN()-COLUMN(Table4[[#Headers],[Index]]),1))),T(INDEX(_xlfn._xlws.FILTER(Surplus[Functional Centre],Surplus[TPBE]=INDEX(Table4[#Headers],SUM(COLUMN()-COLUMN(Table4[[#Headers],[Index]]),1))),Table4[[#This Row],[Index]])),"")</calculatedColumnFormula>
    </tableColumn>
    <tableColumn id="9" xr3:uid="{F231A22E-1E8D-42AE-B926-1E0258258A57}" name="HC-OH" dataDxfId="102">
      <calculatedColumnFormula array="1">IF(Table4[[#This Row],[Index]]&lt;=COUNTIFS(Surplus[TPBE],INDEX(Table4[#Headers],SUM(COLUMN()-COLUMN(Table4[[#Headers],[Index]]),1))),T(INDEX(_xlfn._xlws.FILTER(Surplus[Functional Centre],Surplus[TPBE]=INDEX(Table4[#Headers],SUM(COLUMN()-COLUMN(Table4[[#Headers],[Index]]),1))),Table4[[#This Row],[Index]])),"")</calculatedColumnFormula>
    </tableColumn>
    <tableColumn id="10" xr3:uid="{CA10E9C0-8B96-443F-A077-BA93B89C02DC}" name="PALC" dataDxfId="101">
      <calculatedColumnFormula array="1">IF(Table4[[#This Row],[Index]]&lt;=COUNTIFS(Surplus[TPBE],INDEX(Table4[#Headers],SUM(COLUMN()-COLUMN(Table4[[#Headers],[Index]]),1))),T(INDEX(_xlfn._xlws.FILTER(Surplus[Functional Centre],Surplus[TPBE]=INDEX(Table4[#Headers],SUM(COLUMN()-COLUMN(Table4[[#Headers],[Index]]),1))),Table4[[#This Row],[Index]])),"")</calculatedColumnFormula>
    </tableColumn>
    <tableColumn id="11" xr3:uid="{0C7C8415-9972-439F-93CC-1BB846E27E0C}" name="PG" dataDxfId="100">
      <calculatedColumnFormula array="1">IF(Table4[[#This Row],[Index]]&lt;=COUNTIFS(Surplus[TPBE],INDEX(Table4[#Headers],SUM(COLUMN()-COLUMN(Table4[[#Headers],[Index]]),1))),T(INDEX(_xlfn._xlws.FILTER(Surplus[Functional Centre],Surplus[TPBE]=INDEX(Table4[#Headers],SUM(COLUMN()-COLUMN(Table4[[#Headers],[Index]]),1))),Table4[[#This Row],[Index]])),"")</calculatedColumnFormula>
    </tableColumn>
    <tableColumn id="12" xr3:uid="{2A1BC617-1D4F-417A-B1E9-0AFDE5A1C28F}" name="POMS" dataDxfId="99">
      <calculatedColumnFormula array="1">IF(Table4[[#This Row],[Index]]&lt;=COUNTIFS(Surplus[TPBE],INDEX(Table4[#Headers],SUM(COLUMN()-COLUMN(Table4[[#Headers],[Index]]),1))),T(INDEX(_xlfn._xlws.FILTER(Surplus[Functional Centre],Surplus[TPBE]=INDEX(Table4[#Headers],SUM(COLUMN()-COLUMN(Table4[[#Headers],[Index]]),1))),Table4[[#This Row],[Index]])),"")</calculatedColumnFormula>
    </tableColumn>
    <tableColumn id="13" xr3:uid="{D478AFEF-EF9F-4E29-AB8D-0ACF48AA524E}" name="SAP" dataDxfId="98">
      <calculatedColumnFormula array="1">IF(Table4[[#This Row],[Index]]&lt;=COUNTIFS(Surplus[TPBE],INDEX(Table4[#Headers],SUM(COLUMN()-COLUMN(Table4[[#Headers],[Index]]),1))),T(INDEX(_xlfn._xlws.FILTER(Surplus[Functional Centre],Surplus[TPBE]=INDEX(Table4[#Headers],SUM(COLUMN()-COLUMN(Table4[[#Headers],[Index]]),1))),Table4[[#This Row],[Index]])),"")</calculatedColumnFormula>
    </tableColumn>
    <tableColumn id="14" xr3:uid="{FCB7C846-9986-42F4-80D4-40610257472A}" name="SF" dataDxfId="97">
      <calculatedColumnFormula array="1">IF(Table4[[#This Row],[Index]]&lt;=COUNTIFS(Surplus[TPBE],INDEX(Table4[#Headers],SUM(COLUMN()-COLUMN(Table4[[#Headers],[Index]]),1))),T(INDEX(_xlfn._xlws.FILTER(Surplus[Functional Centre],Surplus[TPBE]=INDEX(Table4[#Headers],SUM(COLUMN()-COLUMN(Table4[[#Headers],[Index]]),1))),Table4[[#This Row],[Index]])),"")</calculatedColumnFormula>
    </tableColumn>
    <tableColumn id="15" xr3:uid="{574E6219-CFC9-4023-8C86-807532E70CCE}" name="SH" dataDxfId="96">
      <calculatedColumnFormula array="1">IF(Table4[[#This Row],[Index]]&lt;=COUNTIFS(Surplus[TPBE],INDEX(Table4[#Headers],SUM(COLUMN()-COLUMN(Table4[[#Headers],[Index]]),1))),T(INDEX(_xlfn._xlws.FILTER(Surplus[Functional Centre],Surplus[TPBE]=INDEX(Table4[#Headers],SUM(COLUMN()-COLUMN(Table4[[#Headers],[Index]]),1))),Table4[[#This Row],[Index]])),"")</calculatedColumnFormula>
    </tableColumn>
  </tableColumns>
  <tableStyleInfo name="TableStyleMedium2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5EB07EC-60B8-4102-91F8-DE5D23C79444}" name="Agencies" displayName="Agencies" ref="AD3:AI155" totalsRowShown="0" headerRowDxfId="95">
  <autoFilter ref="AD3:AI155" xr:uid="{D5EB07EC-60B8-4102-91F8-DE5D23C79444}"/>
  <sortState xmlns:xlrd2="http://schemas.microsoft.com/office/spreadsheetml/2017/richdata2" ref="AD4:AH155">
    <sortCondition ref="AD2:AD153"/>
    <sortCondition ref="AG2:AG153"/>
  </sortState>
  <tableColumns count="6">
    <tableColumn id="1" xr3:uid="{13E117BC-751D-4B5F-A3B0-B5B91F68BEFE}" name="LHIN"/>
    <tableColumn id="2" xr3:uid="{D194C861-ACF0-4C36-BE39-3372283C422A}" name="Facility" dataDxfId="94"/>
    <tableColumn id="3" xr3:uid="{2EA55829-965C-4C0A-A4D2-112C64BECAD4}" name="Recipient" dataDxfId="93"/>
    <tableColumn id="4" xr3:uid="{3838F540-90E4-49D4-8359-E7EC5CA6CB14}" name="HSP Name"/>
    <tableColumn id="6" xr3:uid="{4E762FF2-99CC-4031-A007-D581878AED15}" name="Proper" dataDxfId="92">
      <calculatedColumnFormula>PROPER(Agencies[[#This Row],[HSP Name]])</calculatedColumnFormula>
    </tableColumn>
    <tableColumn id="5" xr3:uid="{DF072324-3316-42CF-B6F2-5EE88CD5FEEF}" name="Acronym"/>
  </tableColumns>
  <tableStyleInfo name="TableStyleMedium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7.xml"/></Relationships>
</file>

<file path=xl/worksheets/_rels/sheet7.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6.bin"/><Relationship Id="rId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9149F-11AB-4BB2-A5A2-787B07A11C1D}">
  <sheetPr>
    <tabColor theme="4"/>
  </sheetPr>
  <dimension ref="B2:N38"/>
  <sheetViews>
    <sheetView showGridLines="0" workbookViewId="0">
      <selection activeCell="E9" sqref="E9"/>
    </sheetView>
  </sheetViews>
  <sheetFormatPr defaultRowHeight="14.5" x14ac:dyDescent="0.35"/>
  <cols>
    <col min="2" max="2" width="37.81640625" customWidth="1"/>
    <col min="3" max="3" width="9.1796875" customWidth="1"/>
    <col min="4" max="4" width="30.453125" customWidth="1"/>
    <col min="5" max="5" width="9.1796875" customWidth="1"/>
  </cols>
  <sheetData>
    <row r="2" spans="2:14" ht="20" thickBot="1" x14ac:dyDescent="0.5">
      <c r="B2" s="245" t="s">
        <v>0</v>
      </c>
      <c r="C2" s="245"/>
      <c r="D2" s="245"/>
    </row>
    <row r="3" spans="2:14" ht="53.15" customHeight="1" thickTop="1" x14ac:dyDescent="0.35">
      <c r="B3" s="246" t="s">
        <v>1</v>
      </c>
      <c r="C3" s="246"/>
      <c r="D3" s="246"/>
      <c r="E3" s="246"/>
      <c r="F3" s="246"/>
      <c r="G3" s="246"/>
      <c r="H3" s="246"/>
      <c r="I3" s="246"/>
      <c r="J3" s="246"/>
      <c r="K3" s="246"/>
      <c r="L3" s="246"/>
      <c r="M3" s="246"/>
      <c r="N3" s="246"/>
    </row>
    <row r="4" spans="2:14" x14ac:dyDescent="0.35">
      <c r="B4" s="62"/>
    </row>
    <row r="5" spans="2:14" ht="20" thickBot="1" x14ac:dyDescent="0.5">
      <c r="B5" s="4" t="s">
        <v>2</v>
      </c>
    </row>
    <row r="6" spans="2:14" ht="79" customHeight="1" thickTop="1" x14ac:dyDescent="0.35">
      <c r="B6" s="246" t="s">
        <v>3</v>
      </c>
      <c r="C6" s="246"/>
      <c r="D6" s="246"/>
      <c r="E6" s="246"/>
      <c r="F6" s="246"/>
      <c r="G6" s="246"/>
      <c r="H6" s="246"/>
      <c r="I6" s="246"/>
      <c r="J6" s="246"/>
      <c r="K6" s="246"/>
      <c r="L6" s="246"/>
      <c r="M6" s="246"/>
      <c r="N6" s="246"/>
    </row>
    <row r="7" spans="2:14" ht="35" customHeight="1" x14ac:dyDescent="0.35">
      <c r="B7" s="246" t="s">
        <v>1192</v>
      </c>
      <c r="C7" s="246"/>
      <c r="D7" s="246"/>
      <c r="E7" s="246"/>
      <c r="F7" s="246"/>
      <c r="G7" s="246"/>
      <c r="H7" s="246"/>
      <c r="I7" s="246"/>
      <c r="J7" s="246"/>
      <c r="K7" s="246"/>
      <c r="L7" s="246"/>
      <c r="M7" s="246"/>
      <c r="N7" s="246"/>
    </row>
    <row r="8" spans="2:14" ht="14.15" customHeight="1" x14ac:dyDescent="0.35">
      <c r="B8" s="108"/>
      <c r="C8" s="108"/>
      <c r="D8" s="108"/>
      <c r="E8" s="108"/>
      <c r="F8" s="108"/>
      <c r="G8" s="108"/>
      <c r="H8" s="108"/>
      <c r="I8" s="108"/>
      <c r="J8" s="108"/>
      <c r="K8" s="108"/>
      <c r="L8" s="108"/>
      <c r="M8" s="108"/>
      <c r="N8" s="108"/>
    </row>
    <row r="9" spans="2:14" ht="20" thickBot="1" x14ac:dyDescent="0.5">
      <c r="B9" s="4" t="s">
        <v>4</v>
      </c>
      <c r="C9" s="108"/>
      <c r="D9" s="108"/>
      <c r="E9" s="108"/>
      <c r="F9" s="108"/>
      <c r="G9" s="108"/>
      <c r="H9" s="108"/>
      <c r="I9" s="108"/>
      <c r="J9" s="108"/>
      <c r="K9" s="108"/>
      <c r="L9" s="108"/>
      <c r="M9" s="108"/>
      <c r="N9" s="108"/>
    </row>
    <row r="10" spans="2:14" ht="18" thickTop="1" thickBot="1" x14ac:dyDescent="0.45">
      <c r="B10" s="23" t="s">
        <v>5</v>
      </c>
      <c r="C10" s="108"/>
      <c r="D10" s="108"/>
      <c r="E10" s="108"/>
      <c r="F10" s="108"/>
      <c r="G10" s="108"/>
      <c r="H10" s="108"/>
      <c r="I10" s="108"/>
      <c r="J10" s="108"/>
      <c r="K10" s="108"/>
      <c r="L10" s="108"/>
      <c r="M10" s="108"/>
      <c r="N10" s="108"/>
    </row>
    <row r="11" spans="2:14" ht="15" thickTop="1" x14ac:dyDescent="0.35">
      <c r="B11" s="246" t="s">
        <v>1198</v>
      </c>
      <c r="C11" s="246"/>
      <c r="D11" s="246"/>
      <c r="E11" s="246"/>
      <c r="F11" s="246"/>
      <c r="G11" s="246"/>
      <c r="H11" s="246"/>
      <c r="I11" s="246"/>
      <c r="J11" s="246"/>
      <c r="K11" s="246"/>
      <c r="L11" s="246"/>
      <c r="M11" s="246"/>
      <c r="N11" s="246"/>
    </row>
    <row r="12" spans="2:14" x14ac:dyDescent="0.35">
      <c r="B12" s="246" t="s">
        <v>6</v>
      </c>
      <c r="C12" s="246"/>
      <c r="D12" s="246"/>
      <c r="E12" s="246"/>
      <c r="F12" s="246"/>
      <c r="G12" s="246"/>
      <c r="H12" s="246"/>
      <c r="I12" s="246"/>
      <c r="J12" s="246"/>
      <c r="K12" s="246"/>
      <c r="L12" s="246"/>
      <c r="M12" s="246"/>
      <c r="N12" s="246"/>
    </row>
    <row r="13" spans="2:14" x14ac:dyDescent="0.35">
      <c r="C13" s="108"/>
      <c r="D13" s="108"/>
      <c r="E13" s="108"/>
      <c r="F13" s="108"/>
      <c r="G13" s="108"/>
      <c r="H13" s="108"/>
      <c r="I13" s="108"/>
      <c r="J13" s="108"/>
      <c r="K13" s="108"/>
      <c r="L13" s="108"/>
      <c r="M13" s="108"/>
      <c r="N13" s="108"/>
    </row>
    <row r="14" spans="2:14" ht="17.5" thickBot="1" x14ac:dyDescent="0.45">
      <c r="B14" s="23" t="s">
        <v>7</v>
      </c>
    </row>
    <row r="15" spans="2:14" ht="37" customHeight="1" thickTop="1" x14ac:dyDescent="0.35">
      <c r="B15" s="246" t="s">
        <v>8</v>
      </c>
      <c r="C15" s="246"/>
      <c r="D15" s="246"/>
      <c r="E15" s="246"/>
      <c r="F15" s="246"/>
      <c r="G15" s="246"/>
      <c r="H15" s="246"/>
      <c r="I15" s="246"/>
      <c r="J15" s="246"/>
      <c r="K15" s="246"/>
      <c r="L15" s="246"/>
      <c r="M15" s="246"/>
      <c r="N15" s="246"/>
    </row>
    <row r="17" spans="2:14" ht="48" customHeight="1" x14ac:dyDescent="0.35">
      <c r="B17" s="246" t="s">
        <v>9</v>
      </c>
      <c r="C17" s="246"/>
      <c r="D17" s="246"/>
      <c r="E17" s="246"/>
      <c r="F17" s="246"/>
      <c r="G17" s="246"/>
      <c r="H17" s="246"/>
      <c r="I17" s="246"/>
      <c r="J17" s="246"/>
      <c r="K17" s="246"/>
      <c r="L17" s="246"/>
      <c r="M17" s="246"/>
      <c r="N17" s="246"/>
    </row>
    <row r="18" spans="2:14" x14ac:dyDescent="0.35">
      <c r="B18" s="62"/>
    </row>
    <row r="19" spans="2:14" x14ac:dyDescent="0.35">
      <c r="B19" s="93" t="s">
        <v>10</v>
      </c>
      <c r="C19" s="94" t="s">
        <v>11</v>
      </c>
      <c r="D19" s="94" t="s">
        <v>12</v>
      </c>
      <c r="E19" s="94" t="s">
        <v>13</v>
      </c>
    </row>
    <row r="20" spans="2:14" x14ac:dyDescent="0.35">
      <c r="B20" s="93" t="s">
        <v>14</v>
      </c>
      <c r="C20" s="94" t="s">
        <v>15</v>
      </c>
      <c r="D20" s="94" t="s">
        <v>16</v>
      </c>
      <c r="E20" s="94" t="s">
        <v>17</v>
      </c>
    </row>
    <row r="21" spans="2:14" x14ac:dyDescent="0.35">
      <c r="B21" s="93" t="s">
        <v>18</v>
      </c>
      <c r="C21" s="94" t="s">
        <v>19</v>
      </c>
      <c r="D21" s="94" t="s">
        <v>20</v>
      </c>
      <c r="E21" s="94" t="s">
        <v>21</v>
      </c>
    </row>
    <row r="22" spans="2:14" x14ac:dyDescent="0.35">
      <c r="B22" s="93" t="s">
        <v>22</v>
      </c>
      <c r="C22" s="94" t="s">
        <v>23</v>
      </c>
      <c r="D22" s="94" t="s">
        <v>24</v>
      </c>
      <c r="E22" s="94" t="s">
        <v>25</v>
      </c>
    </row>
    <row r="23" spans="2:14" x14ac:dyDescent="0.35">
      <c r="B23" s="93" t="s">
        <v>26</v>
      </c>
      <c r="C23" s="94" t="s">
        <v>27</v>
      </c>
      <c r="D23" s="94" t="s">
        <v>28</v>
      </c>
      <c r="E23" s="94" t="s">
        <v>29</v>
      </c>
    </row>
    <row r="24" spans="2:14" x14ac:dyDescent="0.35">
      <c r="B24" s="93" t="s">
        <v>30</v>
      </c>
      <c r="C24" s="94" t="s">
        <v>31</v>
      </c>
      <c r="D24" s="94" t="s">
        <v>32</v>
      </c>
      <c r="E24" s="94" t="s">
        <v>33</v>
      </c>
    </row>
    <row r="25" spans="2:14" x14ac:dyDescent="0.35">
      <c r="B25" s="93" t="s">
        <v>1193</v>
      </c>
      <c r="C25" s="94" t="s">
        <v>35</v>
      </c>
      <c r="D25" s="94"/>
      <c r="E25" s="94"/>
    </row>
    <row r="26" spans="2:14" x14ac:dyDescent="0.35">
      <c r="B26" s="93"/>
      <c r="C26" s="94"/>
      <c r="D26" s="94"/>
      <c r="E26" s="94"/>
    </row>
    <row r="27" spans="2:14" ht="17.5" thickBot="1" x14ac:dyDescent="0.45">
      <c r="B27" s="23" t="s">
        <v>36</v>
      </c>
    </row>
    <row r="28" spans="2:14" ht="15" thickTop="1" x14ac:dyDescent="0.35">
      <c r="B28" s="62" t="s">
        <v>37</v>
      </c>
    </row>
    <row r="29" spans="2:14" x14ac:dyDescent="0.35">
      <c r="B29" s="62" t="s">
        <v>38</v>
      </c>
    </row>
    <row r="30" spans="2:14" x14ac:dyDescent="0.35">
      <c r="B30" s="123" t="s">
        <v>39</v>
      </c>
    </row>
    <row r="31" spans="2:14" x14ac:dyDescent="0.35">
      <c r="B31" s="62"/>
    </row>
    <row r="32" spans="2:14" ht="17.5" thickBot="1" x14ac:dyDescent="0.45">
      <c r="B32" s="23" t="s">
        <v>40</v>
      </c>
    </row>
    <row r="33" spans="2:14" ht="34" customHeight="1" thickTop="1" x14ac:dyDescent="0.35">
      <c r="B33" s="246" t="s">
        <v>41</v>
      </c>
      <c r="C33" s="246"/>
      <c r="D33" s="246"/>
      <c r="E33" s="246"/>
      <c r="F33" s="246"/>
      <c r="G33" s="246"/>
      <c r="H33" s="246"/>
      <c r="I33" s="246"/>
      <c r="J33" s="246"/>
      <c r="K33" s="246"/>
      <c r="L33" s="246"/>
      <c r="M33" s="246"/>
      <c r="N33" s="246"/>
    </row>
    <row r="34" spans="2:14" x14ac:dyDescent="0.35">
      <c r="B34" s="62"/>
    </row>
    <row r="35" spans="2:14" x14ac:dyDescent="0.35">
      <c r="B35" s="62"/>
    </row>
    <row r="36" spans="2:14" x14ac:dyDescent="0.35">
      <c r="B36" s="246" t="s">
        <v>42</v>
      </c>
      <c r="C36" s="246"/>
      <c r="D36" s="246"/>
      <c r="E36" s="246"/>
      <c r="F36" s="246"/>
      <c r="G36" s="246"/>
      <c r="H36" s="246"/>
      <c r="I36" s="246"/>
      <c r="J36" s="246"/>
      <c r="K36" s="246"/>
      <c r="L36" s="246"/>
      <c r="M36" s="246"/>
      <c r="N36" s="246"/>
    </row>
    <row r="37" spans="2:14" ht="41.5" customHeight="1" x14ac:dyDescent="0.35">
      <c r="B37" s="247" t="s">
        <v>1199</v>
      </c>
      <c r="C37" s="247"/>
      <c r="D37" s="247"/>
      <c r="E37" s="247"/>
      <c r="F37" s="247"/>
      <c r="G37" s="247"/>
      <c r="H37" s="247"/>
      <c r="I37" s="247"/>
      <c r="J37" s="247"/>
      <c r="K37" s="247"/>
      <c r="L37" s="247"/>
      <c r="M37" s="247"/>
      <c r="N37" s="247"/>
    </row>
    <row r="38" spans="2:14" x14ac:dyDescent="0.35">
      <c r="B38" s="247" t="s">
        <v>43</v>
      </c>
      <c r="C38" s="247"/>
      <c r="D38" s="247"/>
      <c r="E38" s="247"/>
      <c r="F38" s="247"/>
      <c r="G38" s="247"/>
      <c r="H38" s="247"/>
      <c r="I38" s="247"/>
      <c r="J38" s="247"/>
      <c r="K38" s="247"/>
      <c r="L38" s="247"/>
      <c r="M38" s="247"/>
      <c r="N38" s="247"/>
    </row>
  </sheetData>
  <sheetProtection algorithmName="SHA-512" hashValue="SaBvSV5Nha2M65tGFQwQ3B/3cn/B1X8mp/MAYdbLQMfOcGP1JCifTMOPaTuqM1JoSq9V/ABQCu9LxcDZZdV/6w==" saltValue="kbeeX+bpLNq9FdS1/sTWaw==" spinCount="100000" sheet="1" objects="1" scenarios="1"/>
  <mergeCells count="12">
    <mergeCell ref="B38:N38"/>
    <mergeCell ref="B3:N3"/>
    <mergeCell ref="B15:N15"/>
    <mergeCell ref="B17:N17"/>
    <mergeCell ref="B33:N33"/>
    <mergeCell ref="B7:N7"/>
    <mergeCell ref="B6:N6"/>
    <mergeCell ref="B2:D2"/>
    <mergeCell ref="B12:N12"/>
    <mergeCell ref="B11:N11"/>
    <mergeCell ref="B36:N36"/>
    <mergeCell ref="B37:N37"/>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E31"/>
  <sheetViews>
    <sheetView showGridLines="0" zoomScale="130" zoomScaleNormal="130" workbookViewId="0">
      <selection activeCell="D9" sqref="D9"/>
    </sheetView>
  </sheetViews>
  <sheetFormatPr defaultColWidth="0" defaultRowHeight="14.5" zeroHeight="1" x14ac:dyDescent="0.35"/>
  <cols>
    <col min="1" max="1" width="9.1796875" customWidth="1"/>
    <col min="2" max="2" width="6" style="2" hidden="1" customWidth="1"/>
    <col min="3" max="3" width="30.7265625" customWidth="1"/>
    <col min="4" max="4" width="43" customWidth="1"/>
    <col min="5" max="5" width="9.1796875" customWidth="1"/>
    <col min="6" max="16384" width="9.1796875" hidden="1"/>
  </cols>
  <sheetData>
    <row r="1" spans="2:4" x14ac:dyDescent="0.35"/>
    <row r="2" spans="2:4" ht="20" thickBot="1" x14ac:dyDescent="0.5">
      <c r="B2" s="248" t="s">
        <v>44</v>
      </c>
      <c r="C2" s="248"/>
      <c r="D2" s="248"/>
    </row>
    <row r="3" spans="2:4" ht="20.5" thickTop="1" thickBot="1" x14ac:dyDescent="0.5">
      <c r="B3" s="109"/>
      <c r="C3" s="110" t="s">
        <v>45</v>
      </c>
      <c r="D3" s="110"/>
    </row>
    <row r="4" spans="2:4" ht="15.5" thickTop="1" thickBot="1" x14ac:dyDescent="0.4"/>
    <row r="5" spans="2:4" ht="15" hidden="1" thickBot="1" x14ac:dyDescent="0.4">
      <c r="B5" s="5" t="s">
        <v>46</v>
      </c>
      <c r="C5" s="1" t="s">
        <v>47</v>
      </c>
      <c r="D5" s="1" t="s">
        <v>48</v>
      </c>
    </row>
    <row r="6" spans="2:4" x14ac:dyDescent="0.35">
      <c r="B6" s="2">
        <v>1</v>
      </c>
      <c r="C6" s="6" t="s">
        <v>49</v>
      </c>
      <c r="D6" s="231"/>
    </row>
    <row r="7" spans="2:4" x14ac:dyDescent="0.35">
      <c r="C7" s="7" t="s">
        <v>50</v>
      </c>
      <c r="D7" s="25"/>
    </row>
    <row r="8" spans="2:4" x14ac:dyDescent="0.35">
      <c r="B8" s="2">
        <v>2</v>
      </c>
      <c r="C8" s="7" t="s">
        <v>51</v>
      </c>
      <c r="D8" s="25"/>
    </row>
    <row r="9" spans="2:4" x14ac:dyDescent="0.35">
      <c r="B9" s="2">
        <v>3</v>
      </c>
      <c r="C9" s="7" t="s">
        <v>52</v>
      </c>
      <c r="D9" s="25"/>
    </row>
    <row r="10" spans="2:4" x14ac:dyDescent="0.35">
      <c r="B10" s="2">
        <v>4</v>
      </c>
      <c r="C10" s="7" t="s">
        <v>53</v>
      </c>
      <c r="D10" s="25"/>
    </row>
    <row r="11" spans="2:4" x14ac:dyDescent="0.35">
      <c r="B11" s="2">
        <v>5</v>
      </c>
      <c r="C11" s="7" t="s">
        <v>54</v>
      </c>
      <c r="D11" s="25"/>
    </row>
    <row r="12" spans="2:4" ht="15" thickBot="1" x14ac:dyDescent="0.4">
      <c r="B12" s="2">
        <v>6</v>
      </c>
      <c r="C12" s="8" t="s">
        <v>55</v>
      </c>
      <c r="D12" s="26"/>
    </row>
    <row r="13" spans="2:4" x14ac:dyDescent="0.35"/>
    <row r="14" spans="2:4" ht="29" x14ac:dyDescent="0.35">
      <c r="B14" s="2">
        <v>7</v>
      </c>
      <c r="C14" s="9" t="s">
        <v>56</v>
      </c>
      <c r="D14" s="27"/>
    </row>
    <row r="15" spans="2:4" x14ac:dyDescent="0.35">
      <c r="C15" s="9"/>
    </row>
    <row r="16" spans="2:4" x14ac:dyDescent="0.35">
      <c r="B16" s="2">
        <v>8</v>
      </c>
      <c r="C16" t="s">
        <v>57</v>
      </c>
      <c r="D16" s="27"/>
    </row>
    <row r="17" spans="3:4" x14ac:dyDescent="0.35">
      <c r="C17" t="s">
        <v>58</v>
      </c>
      <c r="D17" s="233"/>
    </row>
    <row r="18" spans="3:4" x14ac:dyDescent="0.35"/>
    <row r="31" spans="3:4" x14ac:dyDescent="0.35"/>
  </sheetData>
  <sheetProtection algorithmName="SHA-512" hashValue="s+mZqst4IDjMq80UXkUfrBBFwInSa68wqDaB0KHO8bPSoRaIhOfDuhKWtlBXg0hZKYMoPRK/6CVe7t423LyCeg==" saltValue="4Yf1PAepTxWYgUUzjKL9aw==" spinCount="100000" sheet="1" selectLockedCells="1"/>
  <mergeCells count="1">
    <mergeCell ref="B2:D2"/>
  </mergeCells>
  <conditionalFormatting sqref="D6:D12 D14 D16:D17">
    <cfRule type="expression" dxfId="91" priority="5">
      <formula>LEN($D6)=0</formula>
    </cfRule>
  </conditionalFormatting>
  <conditionalFormatting sqref="D7">
    <cfRule type="expression" dxfId="90" priority="4">
      <formula>ISBLANK(D7)</formula>
    </cfRule>
  </conditionalFormatting>
  <conditionalFormatting sqref="D8">
    <cfRule type="expression" dxfId="89" priority="3" stopIfTrue="1">
      <formula>ISBLANK(D8)</formula>
    </cfRule>
  </conditionalFormatting>
  <dataValidations count="2">
    <dataValidation type="list" allowBlank="1" showInputMessage="1" showErrorMessage="1" sqref="D7" xr:uid="{00000000-0002-0000-0100-000000000000}">
      <formula1>"CENT,CW,MH,NSM"</formula1>
    </dataValidation>
    <dataValidation type="list" allowBlank="1" showInputMessage="1" showErrorMessage="1" sqref="D8" xr:uid="{00000000-0002-0000-0100-000001000000}">
      <formula1>OFFSET(List_HSP,MATCH($D$7,List_LHIN,0)-1,,COUNTIFS(List_LHIN,$D$7))</formula1>
    </dataValidation>
  </dataValidation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Q41"/>
  <sheetViews>
    <sheetView showGridLines="0" tabSelected="1" zoomScale="90" zoomScaleNormal="90" workbookViewId="0">
      <pane ySplit="12" topLeftCell="A13" activePane="bottomLeft" state="frozen"/>
      <selection activeCell="R17" sqref="R17"/>
      <selection pane="bottomLeft" activeCell="G13" sqref="G13"/>
    </sheetView>
  </sheetViews>
  <sheetFormatPr defaultColWidth="0" defaultRowHeight="14.5" outlineLevelRow="1" outlineLevelCol="1" x14ac:dyDescent="0.35"/>
  <cols>
    <col min="1" max="1" width="10.7265625" customWidth="1"/>
    <col min="2" max="5" width="13.1796875" hidden="1" customWidth="1" outlineLevel="1"/>
    <col min="6" max="6" width="16.26953125" hidden="1" customWidth="1" outlineLevel="1"/>
    <col min="7" max="7" width="19.81640625" customWidth="1" collapsed="1"/>
    <col min="8" max="8" width="72.1796875" bestFit="1" customWidth="1"/>
    <col min="9" max="9" width="39.81640625" customWidth="1"/>
    <col min="10" max="10" width="22.7265625" customWidth="1"/>
    <col min="11" max="11" width="54" customWidth="1"/>
    <col min="12" max="12" width="18.453125" customWidth="1"/>
    <col min="13" max="13" width="21.81640625" customWidth="1"/>
    <col min="14" max="15" width="0" hidden="1" customWidth="1"/>
    <col min="18" max="16384" width="13" hidden="1"/>
  </cols>
  <sheetData>
    <row r="1" spans="2:12" hidden="1" x14ac:dyDescent="0.35"/>
    <row r="2" spans="2:12" ht="20" hidden="1" thickBot="1" x14ac:dyDescent="0.5">
      <c r="G2" s="4" t="s">
        <v>59</v>
      </c>
    </row>
    <row r="3" spans="2:12" ht="17.5" hidden="1" thickBot="1" x14ac:dyDescent="0.45">
      <c r="G3" s="23" t="s">
        <v>7</v>
      </c>
    </row>
    <row r="4" spans="2:12" ht="15" hidden="1" thickTop="1" x14ac:dyDescent="0.35">
      <c r="G4" s="127" t="s">
        <v>60</v>
      </c>
      <c r="H4" s="110"/>
      <c r="I4" s="110"/>
      <c r="J4" s="110"/>
      <c r="K4" s="110"/>
    </row>
    <row r="5" spans="2:12" hidden="1" x14ac:dyDescent="0.35">
      <c r="G5" s="249" t="s">
        <v>61</v>
      </c>
      <c r="H5" s="249"/>
      <c r="I5" s="249"/>
      <c r="J5" s="249"/>
      <c r="K5" s="249"/>
    </row>
    <row r="6" spans="2:12" ht="15.75" hidden="1" customHeight="1" x14ac:dyDescent="0.35"/>
    <row r="7" spans="2:12" ht="15.75" hidden="1" customHeight="1" thickBot="1" x14ac:dyDescent="0.4">
      <c r="G7" s="253" t="s">
        <v>62</v>
      </c>
      <c r="H7" s="254"/>
      <c r="I7" s="254"/>
      <c r="J7" s="254"/>
      <c r="K7" s="254"/>
      <c r="L7" s="254"/>
    </row>
    <row r="8" spans="2:12" ht="35.5" hidden="1" customHeight="1" thickBot="1" x14ac:dyDescent="0.4">
      <c r="G8" s="130" t="s">
        <v>63</v>
      </c>
      <c r="H8" s="124" t="s">
        <v>64</v>
      </c>
      <c r="I8" s="124" t="s">
        <v>65</v>
      </c>
      <c r="J8" s="95">
        <v>40000</v>
      </c>
      <c r="K8" s="95" t="s">
        <v>1195</v>
      </c>
      <c r="L8" s="131">
        <v>40000</v>
      </c>
    </row>
    <row r="9" spans="2:12" ht="19.5" customHeight="1" thickBot="1" x14ac:dyDescent="0.4">
      <c r="G9" s="37"/>
      <c r="H9" s="128"/>
      <c r="I9" s="128"/>
      <c r="J9" s="129"/>
      <c r="K9" s="129"/>
      <c r="L9" s="129"/>
    </row>
    <row r="10" spans="2:12" ht="21.5" thickBot="1" x14ac:dyDescent="0.4">
      <c r="G10" s="250" t="s">
        <v>67</v>
      </c>
      <c r="H10" s="251"/>
      <c r="I10" s="251"/>
      <c r="J10" s="251"/>
      <c r="K10" s="251"/>
      <c r="L10" s="252"/>
    </row>
    <row r="11" spans="2:12" ht="58.5" thickBot="1" x14ac:dyDescent="0.4">
      <c r="B11" s="159" t="s">
        <v>68</v>
      </c>
      <c r="C11" s="160" t="s">
        <v>69</v>
      </c>
      <c r="D11" s="160" t="s">
        <v>70</v>
      </c>
      <c r="E11" s="160" t="s">
        <v>71</v>
      </c>
      <c r="F11" s="161" t="s">
        <v>46</v>
      </c>
      <c r="G11" s="214" t="s">
        <v>72</v>
      </c>
      <c r="H11" s="149" t="s">
        <v>73</v>
      </c>
      <c r="I11" s="150" t="s">
        <v>74</v>
      </c>
      <c r="J11" s="149" t="s">
        <v>1194</v>
      </c>
      <c r="K11" s="149" t="s">
        <v>75</v>
      </c>
      <c r="L11" s="151" t="s">
        <v>76</v>
      </c>
    </row>
    <row r="12" spans="2:12" s="10" customFormat="1" ht="29.5" hidden="1" outlineLevel="1" thickBot="1" x14ac:dyDescent="0.4">
      <c r="B12" s="39" t="s">
        <v>68</v>
      </c>
      <c r="C12" s="43" t="s">
        <v>69</v>
      </c>
      <c r="D12" s="43" t="s">
        <v>70</v>
      </c>
      <c r="E12" s="43" t="s">
        <v>71</v>
      </c>
      <c r="F12" s="158" t="s">
        <v>46</v>
      </c>
      <c r="G12" s="296" t="s">
        <v>77</v>
      </c>
      <c r="H12" s="297" t="s">
        <v>78</v>
      </c>
      <c r="I12" s="298" t="s">
        <v>79</v>
      </c>
      <c r="J12" s="298" t="s">
        <v>7</v>
      </c>
      <c r="K12" s="298" t="s">
        <v>80</v>
      </c>
      <c r="L12" s="299" t="s">
        <v>82</v>
      </c>
    </row>
    <row r="13" spans="2:12" collapsed="1" x14ac:dyDescent="0.35">
      <c r="B13" s="38" t="str">
        <f>IF(AND(Surplus[[#This Row],[Surplus]]&lt;&gt;0,COUNTIFS(Surplus[TPBE],Surplus[[#This Row],[TPBE]],Surplus[Functional Centre],Surplus[[#This Row],[Functional Centre]],Surplus[Index],"&lt;"&amp;Surplus[[#This Row],[Index]])=0),Surplus[[#This Row],[Index]],"")</f>
        <v/>
      </c>
      <c r="C13" s="38" t="str">
        <f>IF(AND(Surplus[[#This Row],[Surplus]]&lt;&gt;0,COUNTBLANK(Surplus[[#This Row],[TPBE]:[Functional Centre]])=0),Surplus[[#This Row],[Index]],"")</f>
        <v/>
      </c>
      <c r="D13" s="38" t="e">
        <f>IF(AND(Surplus[[#This Row],[Surplus]]&lt;&gt;0,COUNTBLANK(Surplus[[#This Row],[TPBE]:[Functional Centre]])=0,_xlfn.IFNA(INDEX(#REF!,MATCH(Surplus[[#This Row],[TPBE]],TPBE[TPBE],0)),0)=1),Surplus[[#This Row],[Index]],"")</f>
        <v>#REF!</v>
      </c>
      <c r="E13" s="38" t="str">
        <f>IF(Surplus[[#This Row],[Surplus]]&lt;=0,"",_xlfn.IFNA(INDEX(TPBE[Group],MATCH(Surplus[[#This Row],[TPBE]],TPBE[TPBE],0)),""))</f>
        <v/>
      </c>
      <c r="F13" s="12">
        <f>ROW()-ROW(Surplus[[#Headers],[Index]])</f>
        <v>1</v>
      </c>
      <c r="G13" s="19"/>
      <c r="H13" s="132"/>
      <c r="I13" s="132"/>
      <c r="J13" s="236"/>
      <c r="K13" s="234"/>
      <c r="L13" s="302">
        <f>Surplus[[#This Row],[Forecasted Surplus]]</f>
        <v>0</v>
      </c>
    </row>
    <row r="14" spans="2:12" x14ac:dyDescent="0.35">
      <c r="B14" s="38" t="str">
        <f>IF(AND(Surplus[[#This Row],[Surplus]]&lt;&gt;0,COUNTIFS(Surplus[TPBE],Surplus[[#This Row],[TPBE]],Surplus[Functional Centre],Surplus[[#This Row],[Functional Centre]],Surplus[Index],"&lt;"&amp;Surplus[[#This Row],[Index]])=0),Surplus[[#This Row],[Index]],"")</f>
        <v/>
      </c>
      <c r="C14" s="38" t="str">
        <f>IF(AND(Surplus[[#This Row],[Surplus]]&lt;&gt;0,COUNTBLANK(Surplus[[#This Row],[TPBE]:[Functional Centre]])=0),Surplus[[#This Row],[Index]],"")</f>
        <v/>
      </c>
      <c r="D14" s="38" t="e">
        <f>IF(AND(Surplus[[#This Row],[Surplus]]&lt;&gt;0,COUNTBLANK(Surplus[[#This Row],[TPBE]:[Functional Centre]])=0,_xlfn.IFNA(INDEX(#REF!,MATCH(Surplus[[#This Row],[TPBE]],TPBE[TPBE],0)),0)=1),Surplus[[#This Row],[Index]],"")</f>
        <v>#REF!</v>
      </c>
      <c r="E14" s="38" t="str">
        <f>IF(Surplus[[#This Row],[Surplus]]&lt;=0,"",_xlfn.IFNA(INDEX(TPBE[Group],MATCH(Surplus[[#This Row],[TPBE]],TPBE[TPBE],0)),""))</f>
        <v/>
      </c>
      <c r="F14" s="13">
        <f>ROW()-ROW(Surplus[[#Headers],[Index]])</f>
        <v>2</v>
      </c>
      <c r="G14" s="35"/>
      <c r="H14" s="134"/>
      <c r="I14" s="134"/>
      <c r="J14" s="237"/>
      <c r="K14" s="238"/>
      <c r="L14" s="303">
        <f>Surplus[[#This Row],[Forecasted Surplus]]</f>
        <v>0</v>
      </c>
    </row>
    <row r="15" spans="2:12" x14ac:dyDescent="0.35">
      <c r="B15" s="38" t="str">
        <f>IF(AND(Surplus[[#This Row],[Surplus]]&lt;&gt;0,COUNTIFS(Surplus[TPBE],Surplus[[#This Row],[TPBE]],Surplus[Functional Centre],Surplus[[#This Row],[Functional Centre]],Surplus[Index],"&lt;"&amp;Surplus[[#This Row],[Index]])=0),Surplus[[#This Row],[Index]],"")</f>
        <v/>
      </c>
      <c r="C15" s="38" t="str">
        <f>IF(AND(Surplus[[#This Row],[Surplus]]&lt;&gt;0,COUNTBLANK(Surplus[[#This Row],[TPBE]:[Functional Centre]])=0),Surplus[[#This Row],[Index]],"")</f>
        <v/>
      </c>
      <c r="D15" s="38" t="e">
        <f>IF(AND(Surplus[[#This Row],[Surplus]]&lt;&gt;0,COUNTBLANK(Surplus[[#This Row],[TPBE]:[Functional Centre]])=0,_xlfn.IFNA(INDEX(#REF!,MATCH(Surplus[[#This Row],[TPBE]],TPBE[TPBE],0)),0)=1),Surplus[[#This Row],[Index]],"")</f>
        <v>#REF!</v>
      </c>
      <c r="E15" s="38" t="str">
        <f>IF(Surplus[[#This Row],[Surplus]]&lt;=0,"",_xlfn.IFNA(INDEX(TPBE[Group],MATCH(Surplus[[#This Row],[TPBE]],TPBE[TPBE],0)),""))</f>
        <v/>
      </c>
      <c r="F15" s="13">
        <f>ROW()-ROW(Surplus[[#Headers],[Index]])</f>
        <v>3</v>
      </c>
      <c r="G15" s="35"/>
      <c r="H15" s="134"/>
      <c r="I15" s="134"/>
      <c r="J15" s="237"/>
      <c r="K15" s="238"/>
      <c r="L15" s="303">
        <f>Surplus[[#This Row],[Forecasted Surplus]]</f>
        <v>0</v>
      </c>
    </row>
    <row r="16" spans="2:12" x14ac:dyDescent="0.35">
      <c r="B16" s="38" t="str">
        <f>IF(AND(Surplus[[#This Row],[Surplus]]&lt;&gt;0,COUNTIFS(Surplus[TPBE],Surplus[[#This Row],[TPBE]],Surplus[Functional Centre],Surplus[[#This Row],[Functional Centre]],Surplus[Index],"&lt;"&amp;Surplus[[#This Row],[Index]])=0),Surplus[[#This Row],[Index]],"")</f>
        <v/>
      </c>
      <c r="C16" s="38" t="str">
        <f>IF(AND(Surplus[[#This Row],[Surplus]]&lt;&gt;0,COUNTBLANK(Surplus[[#This Row],[TPBE]:[Functional Centre]])=0),Surplus[[#This Row],[Index]],"")</f>
        <v/>
      </c>
      <c r="D16" s="38" t="e">
        <f>IF(AND(Surplus[[#This Row],[Surplus]]&lt;&gt;0,COUNTBLANK(Surplus[[#This Row],[TPBE]:[Functional Centre]])=0,_xlfn.IFNA(INDEX(#REF!,MATCH(Surplus[[#This Row],[TPBE]],TPBE[TPBE],0)),0)=1),Surplus[[#This Row],[Index]],"")</f>
        <v>#REF!</v>
      </c>
      <c r="E16" s="38" t="str">
        <f>IF(Surplus[[#This Row],[Surplus]]&lt;=0,"",_xlfn.IFNA(INDEX(TPBE[Group],MATCH(Surplus[[#This Row],[TPBE]],TPBE[TPBE],0)),""))</f>
        <v/>
      </c>
      <c r="F16" s="14">
        <f>ROW()-ROW(Surplus[[#Headers],[Index]])</f>
        <v>4</v>
      </c>
      <c r="G16" s="35"/>
      <c r="H16" s="134"/>
      <c r="I16" s="134"/>
      <c r="J16" s="237"/>
      <c r="K16" s="238"/>
      <c r="L16" s="303">
        <f>Surplus[[#This Row],[Forecasted Surplus]]</f>
        <v>0</v>
      </c>
    </row>
    <row r="17" spans="2:12" s="11" customFormat="1" x14ac:dyDescent="0.35">
      <c r="B17" s="38" t="str">
        <f>IF(AND(Surplus[[#This Row],[Surplus]]&lt;&gt;0,COUNTIFS(Surplus[TPBE],Surplus[[#This Row],[TPBE]],Surplus[Functional Centre],Surplus[[#This Row],[Functional Centre]],Surplus[Index],"&lt;"&amp;Surplus[[#This Row],[Index]])=0),Surplus[[#This Row],[Index]],"")</f>
        <v/>
      </c>
      <c r="C17" s="38" t="str">
        <f>IF(AND(Surplus[[#This Row],[Surplus]]&lt;&gt;0,COUNTBLANK(Surplus[[#This Row],[TPBE]:[Functional Centre]])=0),Surplus[[#This Row],[Index]],"")</f>
        <v/>
      </c>
      <c r="D17" s="38" t="e">
        <f>IF(AND(Surplus[[#This Row],[Surplus]]&lt;&gt;0,COUNTBLANK(Surplus[[#This Row],[TPBE]:[Functional Centre]])=0,_xlfn.IFNA(INDEX(#REF!,MATCH(Surplus[[#This Row],[TPBE]],TPBE[TPBE],0)),0)=1),Surplus[[#This Row],[Index]],"")</f>
        <v>#REF!</v>
      </c>
      <c r="E17" s="38" t="str">
        <f>IF(Surplus[[#This Row],[Surplus]]&lt;=0,"",_xlfn.IFNA(INDEX(TPBE[Group],MATCH(Surplus[[#This Row],[TPBE]],TPBE[TPBE],0)),""))</f>
        <v/>
      </c>
      <c r="F17" s="13">
        <f>ROW()-ROW(Surplus[[#Headers],[Index]])</f>
        <v>5</v>
      </c>
      <c r="G17" s="35"/>
      <c r="H17" s="134"/>
      <c r="I17" s="134"/>
      <c r="J17" s="237"/>
      <c r="K17" s="238"/>
      <c r="L17" s="303">
        <f>Surplus[[#This Row],[Forecasted Surplus]]</f>
        <v>0</v>
      </c>
    </row>
    <row r="18" spans="2:12" x14ac:dyDescent="0.35">
      <c r="B18" s="38" t="str">
        <f>IF(AND(Surplus[[#This Row],[Surplus]]&lt;&gt;0,COUNTIFS(Surplus[TPBE],Surplus[[#This Row],[TPBE]],Surplus[Functional Centre],Surplus[[#This Row],[Functional Centre]],Surplus[Index],"&lt;"&amp;Surplus[[#This Row],[Index]])=0),Surplus[[#This Row],[Index]],"")</f>
        <v/>
      </c>
      <c r="C18" s="38" t="str">
        <f>IF(AND(Surplus[[#This Row],[Surplus]]&lt;&gt;0,COUNTBLANK(Surplus[[#This Row],[TPBE]:[Functional Centre]])=0),Surplus[[#This Row],[Index]],"")</f>
        <v/>
      </c>
      <c r="D18" s="38" t="e">
        <f>IF(AND(Surplus[[#This Row],[Surplus]]&lt;&gt;0,COUNTBLANK(Surplus[[#This Row],[TPBE]:[Functional Centre]])=0,_xlfn.IFNA(INDEX(#REF!,MATCH(Surplus[[#This Row],[TPBE]],TPBE[TPBE],0)),0)=1),Surplus[[#This Row],[Index]],"")</f>
        <v>#REF!</v>
      </c>
      <c r="E18" s="38" t="str">
        <f>IF(Surplus[[#This Row],[Surplus]]&lt;=0,"",_xlfn.IFNA(INDEX(TPBE[Group],MATCH(Surplus[[#This Row],[TPBE]],TPBE[TPBE],0)),""))</f>
        <v/>
      </c>
      <c r="F18" s="13">
        <f>ROW()-ROW(Surplus[[#Headers],[Index]])</f>
        <v>6</v>
      </c>
      <c r="G18" s="35"/>
      <c r="H18" s="134"/>
      <c r="I18" s="134"/>
      <c r="J18" s="237"/>
      <c r="K18" s="238"/>
      <c r="L18" s="303">
        <f>Surplus[[#This Row],[Forecasted Surplus]]</f>
        <v>0</v>
      </c>
    </row>
    <row r="19" spans="2:12" x14ac:dyDescent="0.35">
      <c r="B19" s="38" t="str">
        <f>IF(AND(Surplus[[#This Row],[Surplus]]&lt;&gt;0,COUNTIFS(Surplus[TPBE],Surplus[[#This Row],[TPBE]],Surplus[Functional Centre],Surplus[[#This Row],[Functional Centre]],Surplus[Index],"&lt;"&amp;Surplus[[#This Row],[Index]])=0),Surplus[[#This Row],[Index]],"")</f>
        <v/>
      </c>
      <c r="C19" s="38" t="str">
        <f>IF(AND(Surplus[[#This Row],[Surplus]]&lt;&gt;0,COUNTBLANK(Surplus[[#This Row],[TPBE]:[Functional Centre]])=0),Surplus[[#This Row],[Index]],"")</f>
        <v/>
      </c>
      <c r="D19" s="38" t="e">
        <f>IF(AND(Surplus[[#This Row],[Surplus]]&lt;&gt;0,COUNTBLANK(Surplus[[#This Row],[TPBE]:[Functional Centre]])=0,_xlfn.IFNA(INDEX(#REF!,MATCH(Surplus[[#This Row],[TPBE]],TPBE[TPBE],0)),0)=1),Surplus[[#This Row],[Index]],"")</f>
        <v>#REF!</v>
      </c>
      <c r="E19" s="38" t="str">
        <f>IF(Surplus[[#This Row],[Surplus]]&lt;=0,"",_xlfn.IFNA(INDEX(TPBE[Group],MATCH(Surplus[[#This Row],[TPBE]],TPBE[TPBE],0)),""))</f>
        <v/>
      </c>
      <c r="F19" s="13">
        <f>ROW()-ROW(Surplus[[#Headers],[Index]])</f>
        <v>7</v>
      </c>
      <c r="G19" s="35"/>
      <c r="H19" s="134"/>
      <c r="I19" s="134"/>
      <c r="J19" s="237"/>
      <c r="K19" s="238"/>
      <c r="L19" s="303">
        <f>Surplus[[#This Row],[Forecasted Surplus]]</f>
        <v>0</v>
      </c>
    </row>
    <row r="20" spans="2:12" x14ac:dyDescent="0.35">
      <c r="B20" s="38" t="str">
        <f>IF(AND(Surplus[[#This Row],[Surplus]]&lt;&gt;0,COUNTIFS(Surplus[TPBE],Surplus[[#This Row],[TPBE]],Surplus[Functional Centre],Surplus[[#This Row],[Functional Centre]],Surplus[Index],"&lt;"&amp;Surplus[[#This Row],[Index]])=0),Surplus[[#This Row],[Index]],"")</f>
        <v/>
      </c>
      <c r="C20" s="38" t="str">
        <f>IF(AND(Surplus[[#This Row],[Surplus]]&lt;&gt;0,COUNTBLANK(Surplus[[#This Row],[TPBE]:[Functional Centre]])=0),Surplus[[#This Row],[Index]],"")</f>
        <v/>
      </c>
      <c r="D20" s="38" t="e">
        <f>IF(AND(Surplus[[#This Row],[Surplus]]&lt;&gt;0,COUNTBLANK(Surplus[[#This Row],[TPBE]:[Functional Centre]])=0,_xlfn.IFNA(INDEX(#REF!,MATCH(Surplus[[#This Row],[TPBE]],TPBE[TPBE],0)),0)=1),Surplus[[#This Row],[Index]],"")</f>
        <v>#REF!</v>
      </c>
      <c r="E20" s="38" t="str">
        <f>IF(Surplus[[#This Row],[Surplus]]&lt;=0,"",_xlfn.IFNA(INDEX(TPBE[Group],MATCH(Surplus[[#This Row],[TPBE]],TPBE[TPBE],0)),""))</f>
        <v/>
      </c>
      <c r="F20" s="13">
        <f>ROW()-ROW(Surplus[[#Headers],[Index]])</f>
        <v>8</v>
      </c>
      <c r="G20" s="35"/>
      <c r="H20" s="134"/>
      <c r="I20" s="134"/>
      <c r="J20" s="237"/>
      <c r="K20" s="238"/>
      <c r="L20" s="303">
        <f>Surplus[[#This Row],[Forecasted Surplus]]</f>
        <v>0</v>
      </c>
    </row>
    <row r="21" spans="2:12" x14ac:dyDescent="0.35">
      <c r="B21" s="38" t="str">
        <f>IF(AND(Surplus[[#This Row],[Surplus]]&lt;&gt;0,COUNTIFS(Surplus[TPBE],Surplus[[#This Row],[TPBE]],Surplus[Functional Centre],Surplus[[#This Row],[Functional Centre]],Surplus[Index],"&lt;"&amp;Surplus[[#This Row],[Index]])=0),Surplus[[#This Row],[Index]],"")</f>
        <v/>
      </c>
      <c r="C21" s="38" t="str">
        <f>IF(AND(Surplus[[#This Row],[Surplus]]&lt;&gt;0,COUNTBLANK(Surplus[[#This Row],[TPBE]:[Functional Centre]])=0),Surplus[[#This Row],[Index]],"")</f>
        <v/>
      </c>
      <c r="D21" s="38" t="e">
        <f>IF(AND(Surplus[[#This Row],[Surplus]]&lt;&gt;0,COUNTBLANK(Surplus[[#This Row],[TPBE]:[Functional Centre]])=0,_xlfn.IFNA(INDEX(#REF!,MATCH(Surplus[[#This Row],[TPBE]],TPBE[TPBE],0)),0)=1),Surplus[[#This Row],[Index]],"")</f>
        <v>#REF!</v>
      </c>
      <c r="E21" s="38" t="str">
        <f>IF(Surplus[[#This Row],[Surplus]]&lt;=0,"",_xlfn.IFNA(INDEX(TPBE[Group],MATCH(Surplus[[#This Row],[TPBE]],TPBE[TPBE],0)),""))</f>
        <v/>
      </c>
      <c r="F21" s="13">
        <f>ROW()-ROW(Surplus[[#Headers],[Index]])</f>
        <v>9</v>
      </c>
      <c r="G21" s="35"/>
      <c r="H21" s="134"/>
      <c r="I21" s="134"/>
      <c r="J21" s="237"/>
      <c r="K21" s="238"/>
      <c r="L21" s="303">
        <f>Surplus[[#This Row],[Forecasted Surplus]]</f>
        <v>0</v>
      </c>
    </row>
    <row r="22" spans="2:12" x14ac:dyDescent="0.35">
      <c r="B22" s="38" t="str">
        <f>IF(AND(Surplus[[#This Row],[Surplus]]&lt;&gt;0,COUNTIFS(Surplus[TPBE],Surplus[[#This Row],[TPBE]],Surplus[Functional Centre],Surplus[[#This Row],[Functional Centre]],Surplus[Index],"&lt;"&amp;Surplus[[#This Row],[Index]])=0),Surplus[[#This Row],[Index]],"")</f>
        <v/>
      </c>
      <c r="C22" s="38" t="str">
        <f>IF(AND(Surplus[[#This Row],[Surplus]]&lt;&gt;0,COUNTBLANK(Surplus[[#This Row],[TPBE]:[Functional Centre]])=0),Surplus[[#This Row],[Index]],"")</f>
        <v/>
      </c>
      <c r="D22" s="38" t="e">
        <f>IF(AND(Surplus[[#This Row],[Surplus]]&lt;&gt;0,COUNTBLANK(Surplus[[#This Row],[TPBE]:[Functional Centre]])=0,_xlfn.IFNA(INDEX(#REF!,MATCH(Surplus[[#This Row],[TPBE]],TPBE[TPBE],0)),0)=1),Surplus[[#This Row],[Index]],"")</f>
        <v>#REF!</v>
      </c>
      <c r="E22" s="38" t="str">
        <f>IF(Surplus[[#This Row],[Surplus]]&lt;=0,"",_xlfn.IFNA(INDEX(TPBE[Group],MATCH(Surplus[[#This Row],[TPBE]],TPBE[TPBE],0)),""))</f>
        <v/>
      </c>
      <c r="F22" s="13">
        <f>ROW()-ROW(Surplus[[#Headers],[Index]])</f>
        <v>10</v>
      </c>
      <c r="G22" s="35"/>
      <c r="H22" s="134"/>
      <c r="I22" s="134"/>
      <c r="J22" s="237"/>
      <c r="K22" s="238"/>
      <c r="L22" s="303">
        <f>Surplus[[#This Row],[Forecasted Surplus]]</f>
        <v>0</v>
      </c>
    </row>
    <row r="23" spans="2:12" x14ac:dyDescent="0.35">
      <c r="B23" s="38" t="str">
        <f>IF(AND(Surplus[[#This Row],[Surplus]]&lt;&gt;0,COUNTIFS(Surplus[TPBE],Surplus[[#This Row],[TPBE]],Surplus[Functional Centre],Surplus[[#This Row],[Functional Centre]],Surplus[Index],"&lt;"&amp;Surplus[[#This Row],[Index]])=0),Surplus[[#This Row],[Index]],"")</f>
        <v/>
      </c>
      <c r="C23" s="38" t="str">
        <f>IF(AND(Surplus[[#This Row],[Surplus]]&lt;&gt;0,COUNTBLANK(Surplus[[#This Row],[TPBE]:[Functional Centre]])=0),Surplus[[#This Row],[Index]],"")</f>
        <v/>
      </c>
      <c r="D23" s="38" t="e">
        <f>IF(AND(Surplus[[#This Row],[Surplus]]&lt;&gt;0,COUNTBLANK(Surplus[[#This Row],[TPBE]:[Functional Centre]])=0,_xlfn.IFNA(INDEX(#REF!,MATCH(Surplus[[#This Row],[TPBE]],TPBE[TPBE],0)),0)=1),Surplus[[#This Row],[Index]],"")</f>
        <v>#REF!</v>
      </c>
      <c r="E23" s="38" t="str">
        <f>IF(Surplus[[#This Row],[Surplus]]&lt;=0,"",_xlfn.IFNA(INDEX(TPBE[Group],MATCH(Surplus[[#This Row],[TPBE]],TPBE[TPBE],0)),""))</f>
        <v/>
      </c>
      <c r="F23" s="13">
        <f>ROW()-ROW(Surplus[[#Headers],[Index]])</f>
        <v>11</v>
      </c>
      <c r="G23" s="35"/>
      <c r="H23" s="134"/>
      <c r="I23" s="134"/>
      <c r="J23" s="237"/>
      <c r="K23" s="238"/>
      <c r="L23" s="303">
        <f>Surplus[[#This Row],[Forecasted Surplus]]</f>
        <v>0</v>
      </c>
    </row>
    <row r="24" spans="2:12" x14ac:dyDescent="0.35">
      <c r="B24" s="38" t="str">
        <f>IF(AND(Surplus[[#This Row],[Surplus]]&lt;&gt;0,COUNTIFS(Surplus[TPBE],Surplus[[#This Row],[TPBE]],Surplus[Functional Centre],Surplus[[#This Row],[Functional Centre]],Surplus[Index],"&lt;"&amp;Surplus[[#This Row],[Index]])=0),Surplus[[#This Row],[Index]],"")</f>
        <v/>
      </c>
      <c r="C24" s="38" t="str">
        <f>IF(AND(Surplus[[#This Row],[Surplus]]&lt;&gt;0,COUNTBLANK(Surplus[[#This Row],[TPBE]:[Functional Centre]])=0),Surplus[[#This Row],[Index]],"")</f>
        <v/>
      </c>
      <c r="D24" s="38" t="e">
        <f>IF(AND(Surplus[[#This Row],[Surplus]]&lt;&gt;0,COUNTBLANK(Surplus[[#This Row],[TPBE]:[Functional Centre]])=0,_xlfn.IFNA(INDEX(#REF!,MATCH(Surplus[[#This Row],[TPBE]],TPBE[TPBE],0)),0)=1),Surplus[[#This Row],[Index]],"")</f>
        <v>#REF!</v>
      </c>
      <c r="E24" s="38" t="str">
        <f>IF(Surplus[[#This Row],[Surplus]]&lt;=0,"",_xlfn.IFNA(INDEX(TPBE[Group],MATCH(Surplus[[#This Row],[TPBE]],TPBE[TPBE],0)),""))</f>
        <v/>
      </c>
      <c r="F24" s="13">
        <f>ROW()-ROW(Surplus[[#Headers],[Index]])</f>
        <v>12</v>
      </c>
      <c r="G24" s="35"/>
      <c r="H24" s="134"/>
      <c r="I24" s="134"/>
      <c r="J24" s="237"/>
      <c r="K24" s="238"/>
      <c r="L24" s="303">
        <f>Surplus[[#This Row],[Forecasted Surplus]]</f>
        <v>0</v>
      </c>
    </row>
    <row r="25" spans="2:12" x14ac:dyDescent="0.35">
      <c r="B25" s="38" t="str">
        <f>IF(AND(Surplus[[#This Row],[Surplus]]&lt;&gt;0,COUNTIFS(Surplus[TPBE],Surplus[[#This Row],[TPBE]],Surplus[Functional Centre],Surplus[[#This Row],[Functional Centre]],Surplus[Index],"&lt;"&amp;Surplus[[#This Row],[Index]])=0),Surplus[[#This Row],[Index]],"")</f>
        <v/>
      </c>
      <c r="C25" s="38" t="str">
        <f>IF(AND(Surplus[[#This Row],[Surplus]]&lt;&gt;0,COUNTBLANK(Surplus[[#This Row],[TPBE]:[Functional Centre]])=0),Surplus[[#This Row],[Index]],"")</f>
        <v/>
      </c>
      <c r="D25" s="38" t="e">
        <f>IF(AND(Surplus[[#This Row],[Surplus]]&lt;&gt;0,COUNTBLANK(Surplus[[#This Row],[TPBE]:[Functional Centre]])=0,_xlfn.IFNA(INDEX(#REF!,MATCH(Surplus[[#This Row],[TPBE]],TPBE[TPBE],0)),0)=1),Surplus[[#This Row],[Index]],"")</f>
        <v>#REF!</v>
      </c>
      <c r="E25" s="38" t="str">
        <f>IF(Surplus[[#This Row],[Surplus]]&lt;=0,"",_xlfn.IFNA(INDEX(TPBE[Group],MATCH(Surplus[[#This Row],[TPBE]],TPBE[TPBE],0)),""))</f>
        <v/>
      </c>
      <c r="F25" s="13">
        <f>ROW()-ROW(Surplus[[#Headers],[Index]])</f>
        <v>13</v>
      </c>
      <c r="G25" s="35"/>
      <c r="H25" s="134"/>
      <c r="I25" s="134"/>
      <c r="J25" s="237"/>
      <c r="K25" s="238"/>
      <c r="L25" s="303">
        <f>Surplus[[#This Row],[Forecasted Surplus]]</f>
        <v>0</v>
      </c>
    </row>
    <row r="26" spans="2:12" x14ac:dyDescent="0.35">
      <c r="B26" s="38" t="str">
        <f>IF(AND(Surplus[[#This Row],[Surplus]]&lt;&gt;0,COUNTIFS(Surplus[TPBE],Surplus[[#This Row],[TPBE]],Surplus[Functional Centre],Surplus[[#This Row],[Functional Centre]],Surplus[Index],"&lt;"&amp;Surplus[[#This Row],[Index]])=0),Surplus[[#This Row],[Index]],"")</f>
        <v/>
      </c>
      <c r="C26" s="38" t="str">
        <f>IF(AND(Surplus[[#This Row],[Surplus]]&lt;&gt;0,COUNTBLANK(Surplus[[#This Row],[TPBE]:[Functional Centre]])=0),Surplus[[#This Row],[Index]],"")</f>
        <v/>
      </c>
      <c r="D26" s="38" t="e">
        <f>IF(AND(Surplus[[#This Row],[Surplus]]&lt;&gt;0,COUNTBLANK(Surplus[[#This Row],[TPBE]:[Functional Centre]])=0,_xlfn.IFNA(INDEX(#REF!,MATCH(Surplus[[#This Row],[TPBE]],TPBE[TPBE],0)),0)=1),Surplus[[#This Row],[Index]],"")</f>
        <v>#REF!</v>
      </c>
      <c r="E26" s="38" t="str">
        <f>IF(Surplus[[#This Row],[Surplus]]&lt;=0,"",_xlfn.IFNA(INDEX(TPBE[Group],MATCH(Surplus[[#This Row],[TPBE]],TPBE[TPBE],0)),""))</f>
        <v/>
      </c>
      <c r="F26" s="13">
        <f>ROW()-ROW(Surplus[[#Headers],[Index]])</f>
        <v>14</v>
      </c>
      <c r="G26" s="35"/>
      <c r="H26" s="134"/>
      <c r="I26" s="134"/>
      <c r="J26" s="237"/>
      <c r="K26" s="238"/>
      <c r="L26" s="303">
        <f>Surplus[[#This Row],[Forecasted Surplus]]</f>
        <v>0</v>
      </c>
    </row>
    <row r="27" spans="2:12" ht="15" thickBot="1" x14ac:dyDescent="0.4">
      <c r="B27" s="38" t="str">
        <f>IF(AND(Surplus[[#This Row],[Surplus]]&lt;&gt;0,COUNTIFS(Surplus[TPBE],Surplus[[#This Row],[TPBE]],Surplus[Functional Centre],Surplus[[#This Row],[Functional Centre]],Surplus[Index],"&lt;"&amp;Surplus[[#This Row],[Index]])=0),Surplus[[#This Row],[Index]],"")</f>
        <v/>
      </c>
      <c r="C27" s="38" t="str">
        <f>IF(AND(Surplus[[#This Row],[Surplus]]&lt;&gt;0,COUNTBLANK(Surplus[[#This Row],[TPBE]:[Functional Centre]])=0),Surplus[[#This Row],[Index]],"")</f>
        <v/>
      </c>
      <c r="D27" s="38" t="e">
        <f>IF(AND(Surplus[[#This Row],[Surplus]]&lt;&gt;0,COUNTBLANK(Surplus[[#This Row],[TPBE]:[Functional Centre]])=0,_xlfn.IFNA(INDEX(#REF!,MATCH(Surplus[[#This Row],[TPBE]],TPBE[TPBE],0)),0)=1),Surplus[[#This Row],[Index]],"")</f>
        <v>#REF!</v>
      </c>
      <c r="E27" s="38" t="str">
        <f>IF(Surplus[[#This Row],[Surplus]]&lt;=0,"",_xlfn.IFNA(INDEX(TPBE[Group],MATCH(Surplus[[#This Row],[TPBE]],TPBE[TPBE],0)),""))</f>
        <v/>
      </c>
      <c r="F27" s="14">
        <f>ROW()-ROW(Surplus[[#Headers],[Index]])</f>
        <v>15</v>
      </c>
      <c r="G27" s="42"/>
      <c r="H27" s="304"/>
      <c r="I27" s="304"/>
      <c r="J27" s="239"/>
      <c r="K27" s="240"/>
      <c r="L27" s="305">
        <f>Surplus[[#This Row],[Forecasted Surplus]]</f>
        <v>0</v>
      </c>
    </row>
    <row r="28" spans="2:12" ht="29.5" thickBot="1" x14ac:dyDescent="0.4">
      <c r="B28" s="40">
        <f>SUBTOTAL(102,Surplus[Add to Recoveries])</f>
        <v>0</v>
      </c>
      <c r="C28" s="40"/>
      <c r="D28" s="40"/>
      <c r="E28" s="40"/>
      <c r="F28" s="15">
        <f>SUBTOTAL(102,Surplus[Index])</f>
        <v>15</v>
      </c>
      <c r="G28" s="111" t="s">
        <v>83</v>
      </c>
      <c r="H28" s="112"/>
      <c r="I28" s="112"/>
      <c r="J28" s="300">
        <f>SUBTOTAL(109,Surplus[Forecasted Surplus])</f>
        <v>0</v>
      </c>
      <c r="K28" s="300"/>
      <c r="L28" s="301">
        <f>SUBTOTAL(109,Surplus[Surplus])</f>
        <v>0</v>
      </c>
    </row>
    <row r="30" spans="2:12" x14ac:dyDescent="0.35">
      <c r="G30" s="24" t="s">
        <v>85</v>
      </c>
      <c r="K30" s="155" t="s">
        <v>84</v>
      </c>
      <c r="L30" s="154" t="str">
        <f>IF(Surplus[[#Totals],[Surplus]]&gt;0,"Yes","No")</f>
        <v>No</v>
      </c>
    </row>
    <row r="31" spans="2:12" x14ac:dyDescent="0.35">
      <c r="L31" s="32"/>
    </row>
    <row r="32" spans="2:12" x14ac:dyDescent="0.35">
      <c r="K32" s="235" t="str" cm="1">
        <f t="array" ref="K32">IF(AND(FC_Surplus="Yes",COUNTIFS(Surplus[TPBE],"&lt;&gt;",Surplus[Functional Centre],"&lt;&gt;",Surplus[Column2],"&lt;&gt;",Surplus[Forecasted Surplus],"&lt;&gt;")&gt;=1),HYPERLINK(SUBSTITUTE(WS_SurplusReq,"]","]'")&amp;"'!A1","Click here to proceed to Surplus Reallocation tab"),"")</f>
        <v/>
      </c>
    </row>
    <row r="37" ht="15" customHeight="1" x14ac:dyDescent="0.35"/>
    <row r="38" ht="15" customHeight="1" x14ac:dyDescent="0.35"/>
    <row r="39" ht="15" customHeight="1" x14ac:dyDescent="0.35"/>
    <row r="40" ht="15" customHeight="1" x14ac:dyDescent="0.35"/>
    <row r="41" ht="15" customHeight="1" x14ac:dyDescent="0.35"/>
  </sheetData>
  <sheetProtection sheet="1" selectLockedCells="1"/>
  <mergeCells count="3">
    <mergeCell ref="G5:K5"/>
    <mergeCell ref="G10:L10"/>
    <mergeCell ref="G7:L7"/>
  </mergeCells>
  <phoneticPr fontId="24" type="noConversion"/>
  <conditionalFormatting sqref="G13:K27">
    <cfRule type="expression" dxfId="78" priority="10">
      <formula>AND(ISEVEN($F13),ISBLANK(G13))</formula>
    </cfRule>
    <cfRule type="expression" dxfId="77" priority="11">
      <formula>AND(ISODD($F13),ISBLANK(G13))</formula>
    </cfRule>
  </conditionalFormatting>
  <conditionalFormatting sqref="K32">
    <cfRule type="expression" dxfId="76" priority="4">
      <formula>LEN(K32)&gt;=1</formula>
    </cfRule>
  </conditionalFormatting>
  <conditionalFormatting sqref="L30:L31">
    <cfRule type="cellIs" dxfId="75" priority="5" operator="equal">
      <formula>"Yes"</formula>
    </cfRule>
    <cfRule type="cellIs" dxfId="74" priority="6" operator="equal">
      <formula>"No"</formula>
    </cfRule>
  </conditionalFormatting>
  <conditionalFormatting sqref="G13:I27">
    <cfRule type="expression" dxfId="68" priority="1">
      <formula>+AND(G13="",$J13&lt;&gt;"")</formula>
    </cfRule>
  </conditionalFormatting>
  <dataValidations count="4">
    <dataValidation type="custom" allowBlank="1" showInputMessage="1" showErrorMessage="1" sqref="G11" xr:uid="{00000000-0002-0000-0200-000000000000}">
      <formula1>"&lt;0&gt;0"</formula1>
    </dataValidation>
    <dataValidation type="whole" allowBlank="1" showInputMessage="1" showErrorMessage="1" sqref="J13:J27" xr:uid="{00000000-0002-0000-0200-000001000000}">
      <formula1>-999999999999</formula1>
      <formula2>999999999999</formula2>
    </dataValidation>
    <dataValidation type="list" allowBlank="1" showInputMessage="1" showErrorMessage="1" sqref="G13:G27" xr:uid="{00000000-0002-0000-0200-000003000000}">
      <formula1>List_TPBE</formula1>
    </dataValidation>
    <dataValidation type="list" allowBlank="1" showInputMessage="1" showErrorMessage="1" sqref="H13:H27" xr:uid="{00000000-0002-0000-0200-000002000000}">
      <formula1>List_FC</formula1>
    </dataValidation>
  </dataValidations>
  <hyperlinks>
    <hyperlink ref="G11" location="_ftn1" display="_ftn1" xr:uid="{00000000-0004-0000-0200-000000000000}"/>
    <hyperlink ref="G30" location="_ftnref1" display="_ftnref1" xr:uid="{00000000-0004-0000-0200-000001000000}"/>
  </hyperlink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N44"/>
  <sheetViews>
    <sheetView showGridLines="0" topLeftCell="A4" zoomScale="70" zoomScaleNormal="70" workbookViewId="0">
      <pane ySplit="10" topLeftCell="A26" activePane="bottomLeft" state="frozen"/>
      <selection activeCell="R17" sqref="R17"/>
      <selection pane="bottomLeft" activeCell="G31" sqref="G31"/>
    </sheetView>
  </sheetViews>
  <sheetFormatPr defaultColWidth="0" defaultRowHeight="14.5" zeroHeight="1" outlineLevelRow="1" outlineLevelCol="1" x14ac:dyDescent="0.35"/>
  <cols>
    <col min="1" max="1" width="1.54296875" customWidth="1"/>
    <col min="2" max="2" width="16.453125" customWidth="1"/>
    <col min="3" max="3" width="15.453125" customWidth="1"/>
    <col min="4" max="4" width="17.54296875" customWidth="1"/>
    <col min="5" max="5" width="17.1796875" customWidth="1"/>
    <col min="6" max="6" width="2.1796875" customWidth="1"/>
    <col min="7" max="7" width="20.90625" customWidth="1"/>
    <col min="8" max="8" width="17.81640625" customWidth="1"/>
    <col min="9" max="9" width="52.453125" customWidth="1"/>
    <col min="10" max="10" width="47.81640625" customWidth="1"/>
    <col min="11" max="11" width="47" customWidth="1"/>
    <col min="12" max="12" width="14.453125" customWidth="1"/>
    <col min="13" max="13" width="25.81640625" customWidth="1"/>
    <col min="14" max="26" width="12.7265625" customWidth="1"/>
    <col min="27" max="28" width="10.54296875" hidden="1" customWidth="1" outlineLevel="1"/>
    <col min="29" max="30" width="9.1796875" hidden="1" customWidth="1" outlineLevel="1"/>
    <col min="31" max="31" width="10.26953125" hidden="1" customWidth="1" outlineLevel="1"/>
    <col min="32" max="32" width="9.1796875" hidden="1" customWidth="1" outlineLevel="1"/>
    <col min="33" max="33" width="10.54296875" hidden="1" customWidth="1" outlineLevel="1"/>
    <col min="34" max="35" width="9.1796875" hidden="1" customWidth="1" outlineLevel="1"/>
    <col min="36" max="36" width="9.1796875" customWidth="1" collapsed="1"/>
    <col min="37" max="39" width="9.1796875" hidden="1" customWidth="1"/>
    <col min="40" max="40" width="0" hidden="1" customWidth="1"/>
    <col min="41" max="16384" width="9.1796875" hidden="1"/>
  </cols>
  <sheetData>
    <row r="1" spans="2:35" ht="15" hidden="1" thickBot="1" x14ac:dyDescent="0.4"/>
    <row r="2" spans="2:35" ht="20" hidden="1" thickBot="1" x14ac:dyDescent="0.4">
      <c r="B2" s="85" t="s">
        <v>86</v>
      </c>
      <c r="I2" s="87"/>
      <c r="J2" s="87"/>
      <c r="K2" s="87"/>
      <c r="L2" s="87"/>
      <c r="M2" s="87"/>
    </row>
    <row r="3" spans="2:35" ht="17.5" hidden="1" thickBot="1" x14ac:dyDescent="0.4">
      <c r="B3" s="86" t="s">
        <v>87</v>
      </c>
      <c r="I3" s="88"/>
      <c r="J3" s="88"/>
      <c r="K3" s="88"/>
      <c r="L3" s="88"/>
      <c r="M3" s="88"/>
    </row>
    <row r="4" spans="2:35" ht="32.5" customHeight="1" thickTop="1" x14ac:dyDescent="0.35">
      <c r="B4" s="256" t="s">
        <v>1196</v>
      </c>
      <c r="C4" s="256"/>
      <c r="D4" s="256"/>
      <c r="E4" s="256"/>
      <c r="F4" s="125"/>
      <c r="G4" s="255" t="s">
        <v>1197</v>
      </c>
      <c r="H4" s="255"/>
      <c r="I4" s="255"/>
      <c r="J4" s="255"/>
      <c r="K4" s="255"/>
    </row>
    <row r="5" spans="2:35" ht="40.5" customHeight="1" x14ac:dyDescent="0.35">
      <c r="B5" s="257"/>
      <c r="C5" s="257"/>
      <c r="D5" s="257"/>
      <c r="E5" s="257"/>
      <c r="F5" s="126"/>
      <c r="G5" s="255" t="s">
        <v>88</v>
      </c>
      <c r="H5" s="255"/>
      <c r="I5" s="255"/>
      <c r="J5" s="255"/>
      <c r="K5" s="255"/>
    </row>
    <row r="6" spans="2:35" ht="15" thickBot="1" x14ac:dyDescent="0.4">
      <c r="B6" s="146"/>
      <c r="C6" s="146"/>
      <c r="D6" s="146"/>
      <c r="E6" s="146"/>
      <c r="F6" s="147"/>
      <c r="G6" s="148"/>
      <c r="H6" s="148"/>
      <c r="I6" s="148"/>
      <c r="J6" s="148"/>
      <c r="K6" s="148"/>
    </row>
    <row r="7" spans="2:35" ht="15" hidden="1" thickBot="1" x14ac:dyDescent="0.4">
      <c r="G7" s="261" t="s">
        <v>62</v>
      </c>
      <c r="H7" s="262"/>
      <c r="I7" s="262"/>
      <c r="J7" s="262"/>
      <c r="K7" s="262"/>
      <c r="L7" s="262"/>
      <c r="M7" s="262"/>
      <c r="N7" s="262"/>
      <c r="O7" s="262"/>
      <c r="P7" s="262"/>
      <c r="Q7" s="262"/>
      <c r="R7" s="262"/>
      <c r="S7" s="262"/>
      <c r="T7" s="262"/>
      <c r="U7" s="262"/>
      <c r="V7" s="262"/>
      <c r="W7" s="262"/>
      <c r="X7" s="262"/>
      <c r="Y7" s="262"/>
      <c r="Z7" s="262"/>
      <c r="AA7" s="262"/>
      <c r="AB7" s="212"/>
    </row>
    <row r="8" spans="2:35" hidden="1" x14ac:dyDescent="0.35">
      <c r="G8" s="76" t="s">
        <v>89</v>
      </c>
      <c r="H8" s="77" t="s">
        <v>90</v>
      </c>
      <c r="I8" s="78" t="s">
        <v>91</v>
      </c>
      <c r="J8" s="78" t="s">
        <v>92</v>
      </c>
      <c r="K8" s="78" t="s">
        <v>93</v>
      </c>
      <c r="L8" s="79">
        <v>-50000</v>
      </c>
      <c r="M8" s="223"/>
      <c r="N8" s="83"/>
      <c r="O8" s="71"/>
      <c r="P8" s="71"/>
      <c r="Q8" s="71"/>
      <c r="R8" s="71"/>
      <c r="S8" s="71"/>
      <c r="T8" s="71"/>
      <c r="U8" s="71"/>
      <c r="V8" s="71">
        <v>-200</v>
      </c>
      <c r="W8" s="71"/>
      <c r="X8" s="71"/>
      <c r="Y8" s="71"/>
      <c r="Z8" s="72"/>
    </row>
    <row r="9" spans="2:35" ht="15" hidden="1" thickBot="1" x14ac:dyDescent="0.4">
      <c r="G9" s="70" t="s">
        <v>94</v>
      </c>
      <c r="H9" s="75" t="s">
        <v>90</v>
      </c>
      <c r="I9" s="69" t="s">
        <v>95</v>
      </c>
      <c r="J9" s="69" t="s">
        <v>96</v>
      </c>
      <c r="K9" s="69" t="s">
        <v>97</v>
      </c>
      <c r="L9" s="74">
        <v>50000</v>
      </c>
      <c r="M9" s="224"/>
      <c r="N9" s="84">
        <v>0.5</v>
      </c>
      <c r="O9" s="69">
        <v>50</v>
      </c>
      <c r="P9" s="69"/>
      <c r="Q9" s="69"/>
      <c r="R9" s="69"/>
      <c r="S9" s="69">
        <v>5</v>
      </c>
      <c r="T9" s="69"/>
      <c r="U9" s="69"/>
      <c r="V9" s="69"/>
      <c r="W9" s="69"/>
      <c r="X9" s="69"/>
      <c r="Y9" s="69"/>
      <c r="Z9" s="73"/>
    </row>
    <row r="10" spans="2:35" ht="15" hidden="1" outlineLevel="1" thickBot="1" x14ac:dyDescent="0.4">
      <c r="H10" s="3"/>
      <c r="N10" s="140">
        <v>1</v>
      </c>
      <c r="O10" s="140">
        <v>2</v>
      </c>
      <c r="P10" s="140">
        <v>3</v>
      </c>
      <c r="Q10" s="140">
        <v>4</v>
      </c>
      <c r="R10" s="140">
        <v>5</v>
      </c>
      <c r="S10" s="140">
        <v>6</v>
      </c>
      <c r="T10" s="140">
        <v>7</v>
      </c>
      <c r="U10" s="140">
        <v>8</v>
      </c>
      <c r="V10" s="140">
        <v>9</v>
      </c>
      <c r="W10" s="140">
        <v>11</v>
      </c>
      <c r="X10" s="140">
        <v>12</v>
      </c>
      <c r="Y10" s="140">
        <v>13</v>
      </c>
      <c r="Z10" s="140">
        <v>14</v>
      </c>
    </row>
    <row r="11" spans="2:35" ht="29.5" customHeight="1" collapsed="1" thickBot="1" x14ac:dyDescent="0.55000000000000004">
      <c r="B11" s="258" t="s">
        <v>98</v>
      </c>
      <c r="C11" s="259"/>
      <c r="D11" s="259"/>
      <c r="E11" s="260"/>
      <c r="G11" s="266" t="s">
        <v>99</v>
      </c>
      <c r="H11" s="267"/>
      <c r="I11" s="267"/>
      <c r="J11" s="267"/>
      <c r="K11" s="267"/>
      <c r="L11" s="267"/>
      <c r="M11" s="268"/>
      <c r="N11" s="263" t="s">
        <v>100</v>
      </c>
      <c r="O11" s="264"/>
      <c r="P11" s="264"/>
      <c r="Q11" s="264"/>
      <c r="R11" s="264"/>
      <c r="S11" s="264"/>
      <c r="T11" s="264"/>
      <c r="U11" s="264"/>
      <c r="V11" s="264"/>
      <c r="W11" s="264"/>
      <c r="X11" s="264"/>
      <c r="Y11" s="264"/>
      <c r="Z11" s="265"/>
    </row>
    <row r="12" spans="2:35" ht="73" thickBot="1" x14ac:dyDescent="0.4">
      <c r="B12" s="142" t="s">
        <v>77</v>
      </c>
      <c r="C12" s="143" t="s">
        <v>101</v>
      </c>
      <c r="D12" s="144" t="s">
        <v>102</v>
      </c>
      <c r="E12" s="145" t="s">
        <v>103</v>
      </c>
      <c r="G12" s="63" t="s">
        <v>104</v>
      </c>
      <c r="H12" s="99" t="s">
        <v>105</v>
      </c>
      <c r="I12" s="99" t="s">
        <v>73</v>
      </c>
      <c r="J12" s="99" t="s">
        <v>106</v>
      </c>
      <c r="K12" s="99" t="s">
        <v>107</v>
      </c>
      <c r="L12" s="98" t="s">
        <v>108</v>
      </c>
      <c r="M12" s="226" t="s">
        <v>109</v>
      </c>
      <c r="N12" s="63" t="s">
        <v>110</v>
      </c>
      <c r="O12" s="114" t="s">
        <v>111</v>
      </c>
      <c r="P12" s="114" t="s">
        <v>112</v>
      </c>
      <c r="Q12" s="114" t="s">
        <v>113</v>
      </c>
      <c r="R12" s="114" t="s">
        <v>114</v>
      </c>
      <c r="S12" s="114" t="s">
        <v>115</v>
      </c>
      <c r="T12" s="114" t="s">
        <v>116</v>
      </c>
      <c r="U12" s="114" t="s">
        <v>117</v>
      </c>
      <c r="V12" s="114" t="s">
        <v>118</v>
      </c>
      <c r="W12" s="114" t="s">
        <v>119</v>
      </c>
      <c r="X12" s="114" t="s">
        <v>120</v>
      </c>
      <c r="Y12" s="114" t="s">
        <v>121</v>
      </c>
      <c r="Z12" s="98" t="s">
        <v>122</v>
      </c>
      <c r="AA12" s="16" t="s">
        <v>123</v>
      </c>
      <c r="AB12" s="17" t="s">
        <v>124</v>
      </c>
      <c r="AC12" s="17" t="s">
        <v>125</v>
      </c>
      <c r="AD12" s="100" t="s">
        <v>126</v>
      </c>
      <c r="AE12" s="100" t="s">
        <v>127</v>
      </c>
      <c r="AF12" s="100" t="s">
        <v>128</v>
      </c>
      <c r="AG12" s="17" t="s">
        <v>129</v>
      </c>
      <c r="AH12" s="18" t="s">
        <v>46</v>
      </c>
      <c r="AI12" s="81" t="s">
        <v>130</v>
      </c>
    </row>
    <row r="13" spans="2:35" ht="44" hidden="1" outlineLevel="1" thickBot="1" x14ac:dyDescent="0.4">
      <c r="B13" s="96" t="s">
        <v>71</v>
      </c>
      <c r="C13" s="141" t="s">
        <v>131</v>
      </c>
      <c r="D13" s="115" t="s">
        <v>132</v>
      </c>
      <c r="E13" s="97" t="s">
        <v>40</v>
      </c>
      <c r="G13" s="306" t="s">
        <v>133</v>
      </c>
      <c r="H13" s="82" t="s">
        <v>77</v>
      </c>
      <c r="I13" s="29" t="s">
        <v>134</v>
      </c>
      <c r="J13" s="29" t="s">
        <v>47</v>
      </c>
      <c r="K13" s="30" t="s">
        <v>135</v>
      </c>
      <c r="L13" s="30" t="s">
        <v>136</v>
      </c>
      <c r="M13" s="81" t="s">
        <v>137</v>
      </c>
      <c r="N13" s="111" t="s">
        <v>138</v>
      </c>
      <c r="O13" s="112" t="s">
        <v>111</v>
      </c>
      <c r="P13" s="112" t="s">
        <v>139</v>
      </c>
      <c r="Q13" s="112" t="s">
        <v>140</v>
      </c>
      <c r="R13" s="112" t="s">
        <v>141</v>
      </c>
      <c r="S13" s="112" t="s">
        <v>142</v>
      </c>
      <c r="T13" s="112" t="s">
        <v>143</v>
      </c>
      <c r="U13" s="112" t="s">
        <v>144</v>
      </c>
      <c r="V13" s="112" t="s">
        <v>145</v>
      </c>
      <c r="W13" s="112" t="s">
        <v>146</v>
      </c>
      <c r="X13" s="112" t="s">
        <v>147</v>
      </c>
      <c r="Y13" s="112" t="s">
        <v>148</v>
      </c>
      <c r="Z13" s="113" t="s">
        <v>149</v>
      </c>
      <c r="AA13" s="81" t="s">
        <v>123</v>
      </c>
      <c r="AB13" s="81" t="s">
        <v>80</v>
      </c>
      <c r="AC13" s="112" t="s">
        <v>71</v>
      </c>
      <c r="AD13" s="112" t="s">
        <v>150</v>
      </c>
      <c r="AE13" s="112" t="s">
        <v>79</v>
      </c>
      <c r="AF13" s="112" t="s">
        <v>151</v>
      </c>
      <c r="AG13" s="112" t="s">
        <v>152</v>
      </c>
      <c r="AH13" s="112" t="s">
        <v>46</v>
      </c>
      <c r="AI13" s="112" t="s">
        <v>81</v>
      </c>
    </row>
    <row r="14" spans="2:35" ht="30" customHeight="1" collapsed="1" x14ac:dyDescent="0.35">
      <c r="B14" s="102" t="s">
        <v>153</v>
      </c>
      <c r="C14" s="103">
        <f>SUMIFS(Surplus[Surplus],Surplus[Sector],TPBE_Surplus[[#This Row],[Sector]])</f>
        <v>0</v>
      </c>
      <c r="D14" s="103">
        <f>SUMIFS(Requests[Adj. Amount],Requests[Sector],TPBE_Surplus[[#This Row],[Sector]],Requests[Adj. Amount],"&gt;0")</f>
        <v>0</v>
      </c>
      <c r="E14" s="120">
        <f>TPBE_Surplus[[#This Row],[FC Surplus]]-TPBE_Surplus[[#This Row],[Reallocated]]</f>
        <v>0</v>
      </c>
      <c r="G14" s="311"/>
      <c r="H14" s="312"/>
      <c r="I14" s="312"/>
      <c r="J14" s="312"/>
      <c r="K14" s="312"/>
      <c r="L14" s="133"/>
      <c r="M14" s="227" t="str">
        <f>IF(LEN(Requests[[#This Row],[Amount]])&gt;=1,IF(LEN(Requests[[#This Row],[TPBE]])=0,"Amount entered without TPBE",IF(LEN(Requests[[#This Row],[FC]])=0,"Amount entered without a corresponding functional centre",IF(AND(Requests[[#This Row],[Reallocation Type]]="Reallocation",SUM(Requests[[#This Row],[Adj. Amount]],Requests[[#This Row],[Column3]])&lt;0),"Not enough surplus in TPBE for selected reallocation",IF(AND(Requests[[#This Row],[Reallocation Type]]="Request",Requests[[#This Row],[Amount]]&gt;Requests[[#This Row],[Column2]]),"Not enough surplus available to support request","Good")))),"")</f>
        <v/>
      </c>
      <c r="N14" s="48"/>
      <c r="O14" s="49"/>
      <c r="P14" s="49"/>
      <c r="Q14" s="49"/>
      <c r="R14" s="49"/>
      <c r="S14" s="49"/>
      <c r="T14" s="49"/>
      <c r="U14" s="49"/>
      <c r="V14" s="49"/>
      <c r="W14" s="49"/>
      <c r="X14" s="49"/>
      <c r="Y14" s="49"/>
      <c r="Z14" s="44"/>
      <c r="AA14" s="197">
        <f>CHOOSE(_xlfn.IFNA(MATCH(Requests[[#This Row],[Reallocation Type]],{"Reallocation","Request"},0),2),-1,1)*ABS(Requests[[#This Row],[Amount]])</f>
        <v>0</v>
      </c>
      <c r="AB14" s="219" t="str">
        <f>IF(Requests[[#This Row],[Reallocation Type]]="Reallocation",SUMIFS(Surplus[Surplus],Surplus[TPBE],Requests[[#This Row],[TPBE]],Surplus[Functional Centre],Requests[[#This Row],[FC]]),"")</f>
        <v/>
      </c>
      <c r="AC14" s="198" t="str">
        <f>_xlfn.IFNA(INDEX(TPBE[Group],MATCH(Requests[[#This Row],[TPBE]],TPBE[TPBE],0)),"")</f>
        <v/>
      </c>
      <c r="AD14" s="198">
        <f>SUMIFS(TPBE[FC Surplus Amount],TPBE[Group],Requests[[#This Row],[Sector]])</f>
        <v>0</v>
      </c>
      <c r="AE14" s="198">
        <f>-SUMIFS(Requests[Adj. Amount],Requests[Sector],Requests[[#This Row],[Sector]],Requests[Adj. Amount],"&lt;0")</f>
        <v>0</v>
      </c>
      <c r="AF14" s="198">
        <f>SUMIFS(Requests[Adj. Amount],Requests[Adj. Amount],"&gt;0",Requests[Sector],Requests[[#This Row],[Sector]])</f>
        <v>0</v>
      </c>
      <c r="AG14" s="198" t="b">
        <f>SUMIFS(Requests[Adj. Amount],Requests[Adj. Amount],"&gt;0",Requests[Sector],Requests[[#This Row],[Sector]],Requests[Sector],"&lt;&gt;")&lt;=SUMIFS(Surplus[Surplus],Surplus[Sector],Requests[[#This Row],[Sector]])</f>
        <v>1</v>
      </c>
      <c r="AH14" s="198">
        <f t="shared" ref="AH14:AH39" si="0">ROW()-ROW(AH12)</f>
        <v>2</v>
      </c>
      <c r="AI14" s="209" t="b">
        <f>COUNTBLANK(Requests[[#This Row],[Reallocation Type]:[Amount]])&lt;=1</f>
        <v>0</v>
      </c>
    </row>
    <row r="15" spans="2:35" ht="30" customHeight="1" x14ac:dyDescent="0.35">
      <c r="B15" s="104" t="s">
        <v>154</v>
      </c>
      <c r="C15" s="101">
        <f>SUMIFS(Surplus[Surplus],Surplus[Sector],TPBE_Surplus[[#This Row],[Sector]])</f>
        <v>0</v>
      </c>
      <c r="D15" s="101">
        <f>SUMIFS(Requests[Adj. Amount],Requests[Sector],TPBE_Surplus[[#This Row],[Sector]],Requests[Adj. Amount],"&gt;0")</f>
        <v>0</v>
      </c>
      <c r="E15" s="121">
        <f>TPBE_Surplus[[#This Row],[FC Surplus]]-TPBE_Surplus[[#This Row],[Reallocated]]</f>
        <v>0</v>
      </c>
      <c r="G15" s="313"/>
      <c r="H15" s="136"/>
      <c r="I15" s="136"/>
      <c r="J15" s="136"/>
      <c r="K15" s="136"/>
      <c r="L15" s="135"/>
      <c r="M15" s="228" t="str">
        <f>IF(LEN(Requests[[#This Row],[Amount]])&gt;=1,IF(LEN(Requests[[#This Row],[TPBE]])=0,"Amount entered without TPBE",IF(LEN(Requests[[#This Row],[FC]])=0,"Amount entered without a corresponding functional centre",IF(AND(Requests[[#This Row],[Reallocation Type]]="Reallocation",SUM(Requests[[#This Row],[Adj. Amount]],Requests[[#This Row],[Column3]])&lt;0),"Not enough surplus in TPBE for selected reallocation",IF(AND(Requests[[#This Row],[Reallocation Type]]="Request",Requests[[#This Row],[Amount]]&gt;Requests[[#This Row],[Column2]]),"Not enough surplus available to support request","Good")))),"")</f>
        <v/>
      </c>
      <c r="N15" s="107"/>
      <c r="O15" s="51"/>
      <c r="P15" s="51"/>
      <c r="Q15" s="51"/>
      <c r="R15" s="51"/>
      <c r="S15" s="51"/>
      <c r="T15" s="51"/>
      <c r="U15" s="51"/>
      <c r="V15" s="51"/>
      <c r="W15" s="51"/>
      <c r="X15" s="51"/>
      <c r="Y15" s="51"/>
      <c r="Z15" s="45"/>
      <c r="AA15" s="199">
        <f>CHOOSE(_xlfn.IFNA(MATCH(Requests[[#This Row],[Reallocation Type]],{"Reallocation","Request"},0),2),-1,1)*ABS(Requests[[#This Row],[Amount]])</f>
        <v>0</v>
      </c>
      <c r="AB15" s="220" t="str">
        <f>IF(Requests[[#This Row],[Reallocation Type]]="Reallocation",SUMIFS(Surplus[Surplus],Surplus[TPBE],Requests[[#This Row],[TPBE]],Surplus[Functional Centre],Requests[[#This Row],[FC]]),"")</f>
        <v/>
      </c>
      <c r="AC15" s="200" t="str">
        <f>_xlfn.IFNA(INDEX(TPBE[Group],MATCH(Requests[[#This Row],[TPBE]],TPBE[TPBE],0)),"")</f>
        <v/>
      </c>
      <c r="AD15" s="200">
        <f>SUMIFS(TPBE[FC Surplus Amount],TPBE[Group],Requests[[#This Row],[Sector]])</f>
        <v>0</v>
      </c>
      <c r="AE15" s="200">
        <f>-SUMIFS(Requests[Adj. Amount],Requests[Sector],Requests[[#This Row],[Sector]],Requests[Adj. Amount],"&lt;0")</f>
        <v>0</v>
      </c>
      <c r="AF15" s="200">
        <f>SUMIFS(Requests[Adj. Amount],Requests[Adj. Amount],"&gt;0",Requests[Sector],Requests[[#This Row],[Sector]])</f>
        <v>0</v>
      </c>
      <c r="AG15" s="200" t="b">
        <f>SUMIFS(Requests[Adj. Amount],Requests[Adj. Amount],"&gt;0",Requests[Sector],Requests[[#This Row],[Sector]],Requests[Sector],"&lt;&gt;")&lt;=SUMIFS(Surplus[Surplus],Surplus[Sector],Requests[[#This Row],[Sector]])</f>
        <v>1</v>
      </c>
      <c r="AH15" s="200">
        <f t="shared" si="0"/>
        <v>2</v>
      </c>
      <c r="AI15" s="200" t="b">
        <f>COUNTBLANK(Requests[[#This Row],[Reallocation Type]:[Amount]])&lt;=1</f>
        <v>0</v>
      </c>
    </row>
    <row r="16" spans="2:35" ht="30" customHeight="1" x14ac:dyDescent="0.35">
      <c r="B16" s="104" t="s">
        <v>155</v>
      </c>
      <c r="C16" s="101">
        <f>SUMIFS(Surplus[Surplus],Surplus[Sector],TPBE_Surplus[[#This Row],[Sector]])</f>
        <v>0</v>
      </c>
      <c r="D16" s="101">
        <f>SUMIFS(Requests[Adj. Amount],Requests[Sector],TPBE_Surplus[[#This Row],[Sector]],Requests[Adj. Amount],"&gt;0")</f>
        <v>0</v>
      </c>
      <c r="E16" s="121">
        <f>TPBE_Surplus[[#This Row],[FC Surplus]]-TPBE_Surplus[[#This Row],[Reallocated]]</f>
        <v>0</v>
      </c>
      <c r="G16" s="313"/>
      <c r="H16" s="136"/>
      <c r="I16" s="136"/>
      <c r="J16" s="136"/>
      <c r="K16" s="136"/>
      <c r="L16" s="135"/>
      <c r="M16" s="228" t="str">
        <f>IF(LEN(Requests[[#This Row],[Amount]])&gt;=1,IF(LEN(Requests[[#This Row],[TPBE]])=0,"Amount entered without TPBE",IF(LEN(Requests[[#This Row],[FC]])=0,"Amount entered without a corresponding functional centre",IF(AND(Requests[[#This Row],[Reallocation Type]]="Reallocation",SUM(Requests[[#This Row],[Adj. Amount]],Requests[[#This Row],[Column3]])&lt;0),"Not enough surplus in TPBE for selected reallocation",IF(AND(Requests[[#This Row],[Reallocation Type]]="Request",Requests[[#This Row],[Amount]]&gt;Requests[[#This Row],[Column2]]),"Not enough surplus available to support request","Good")))),"")</f>
        <v/>
      </c>
      <c r="N16" s="50"/>
      <c r="O16" s="51"/>
      <c r="P16" s="51"/>
      <c r="Q16" s="51"/>
      <c r="R16" s="51"/>
      <c r="S16" s="51"/>
      <c r="T16" s="51"/>
      <c r="U16" s="51"/>
      <c r="V16" s="51"/>
      <c r="W16" s="51"/>
      <c r="X16" s="51"/>
      <c r="Y16" s="51"/>
      <c r="Z16" s="45"/>
      <c r="AA16" s="199">
        <f>CHOOSE(_xlfn.IFNA(MATCH(Requests[[#This Row],[Reallocation Type]],{"Reallocation","Request"},0),2),-1,1)*ABS(Requests[[#This Row],[Amount]])</f>
        <v>0</v>
      </c>
      <c r="AB16" s="220" t="str">
        <f>IF(Requests[[#This Row],[Reallocation Type]]="Reallocation",SUMIFS(Surplus[Surplus],Surplus[TPBE],Requests[[#This Row],[TPBE]],Surplus[Functional Centre],Requests[[#This Row],[FC]]),"")</f>
        <v/>
      </c>
      <c r="AC16" s="200" t="str">
        <f>_xlfn.IFNA(INDEX(TPBE[Group],MATCH(Requests[[#This Row],[TPBE]],TPBE[TPBE],0)),"")</f>
        <v/>
      </c>
      <c r="AD16" s="200">
        <f>SUMIFS(TPBE[FC Surplus Amount],TPBE[Group],Requests[[#This Row],[Sector]])</f>
        <v>0</v>
      </c>
      <c r="AE16" s="200">
        <f>-SUMIFS(Requests[Adj. Amount],Requests[Sector],Requests[[#This Row],[Sector]],Requests[Adj. Amount],"&lt;0")</f>
        <v>0</v>
      </c>
      <c r="AF16" s="200">
        <f>SUMIFS(Requests[Adj. Amount],Requests[Adj. Amount],"&gt;0",Requests[Sector],Requests[[#This Row],[Sector]])</f>
        <v>0</v>
      </c>
      <c r="AG16" s="200" t="b">
        <f>SUMIFS(Requests[Adj. Amount],Requests[Adj. Amount],"&gt;0",Requests[Sector],Requests[[#This Row],[Sector]],Requests[Sector],"&lt;&gt;")&lt;=SUMIFS(Surplus[Surplus],Surplus[Sector],Requests[[#This Row],[Sector]])</f>
        <v>1</v>
      </c>
      <c r="AH16" s="200">
        <f t="shared" si="0"/>
        <v>2</v>
      </c>
      <c r="AI16" s="200" t="b">
        <f>COUNTBLANK(Requests[[#This Row],[Reallocation Type]:[Amount]])&lt;=1</f>
        <v>0</v>
      </c>
    </row>
    <row r="17" spans="2:35" ht="30" customHeight="1" x14ac:dyDescent="0.35">
      <c r="B17" s="104" t="s">
        <v>156</v>
      </c>
      <c r="C17" s="101">
        <f>SUMIFS(Surplus[Surplus],Surplus[Sector],TPBE_Surplus[[#This Row],[Sector]])</f>
        <v>0</v>
      </c>
      <c r="D17" s="101">
        <f>SUMIFS(Requests[Adj. Amount],Requests[Sector],TPBE_Surplus[[#This Row],[Sector]],Requests[Adj. Amount],"&gt;0")</f>
        <v>0</v>
      </c>
      <c r="E17" s="121">
        <f>TPBE_Surplus[[#This Row],[FC Surplus]]-TPBE_Surplus[[#This Row],[Reallocated]]</f>
        <v>0</v>
      </c>
      <c r="G17" s="313"/>
      <c r="H17" s="136"/>
      <c r="I17" s="136"/>
      <c r="J17" s="136"/>
      <c r="K17" s="136"/>
      <c r="L17" s="135"/>
      <c r="M17" s="228" t="str">
        <f>IF(LEN(Requests[[#This Row],[Amount]])&gt;=1,IF(LEN(Requests[[#This Row],[TPBE]])=0,"Amount entered without TPBE",IF(LEN(Requests[[#This Row],[FC]])=0,"Amount entered without a corresponding functional centre",IF(AND(Requests[[#This Row],[Reallocation Type]]="Reallocation",SUM(Requests[[#This Row],[Adj. Amount]],Requests[[#This Row],[Column3]])&lt;0),"Not enough surplus in TPBE for selected reallocation",IF(AND(Requests[[#This Row],[Reallocation Type]]="Request",Requests[[#This Row],[Amount]]&gt;Requests[[#This Row],[Column2]]),"Not enough surplus available to support request","Good")))),"")</f>
        <v/>
      </c>
      <c r="N17" s="50"/>
      <c r="O17" s="51"/>
      <c r="P17" s="51"/>
      <c r="Q17" s="51"/>
      <c r="R17" s="51"/>
      <c r="S17" s="51"/>
      <c r="T17" s="51"/>
      <c r="U17" s="51"/>
      <c r="V17" s="51"/>
      <c r="W17" s="51"/>
      <c r="X17" s="51"/>
      <c r="Y17" s="51"/>
      <c r="Z17" s="45"/>
      <c r="AA17" s="199">
        <f>CHOOSE(_xlfn.IFNA(MATCH(Requests[[#This Row],[Reallocation Type]],{"Reallocation","Request"},0),2),-1,1)*ABS(Requests[[#This Row],[Amount]])</f>
        <v>0</v>
      </c>
      <c r="AB17" s="220" t="str">
        <f>IF(Requests[[#This Row],[Reallocation Type]]="Reallocation",SUMIFS(Surplus[Surplus],Surplus[TPBE],Requests[[#This Row],[TPBE]],Surplus[Functional Centre],Requests[[#This Row],[FC]]),"")</f>
        <v/>
      </c>
      <c r="AC17" s="200" t="str">
        <f>_xlfn.IFNA(INDEX(TPBE[Group],MATCH(Requests[[#This Row],[TPBE]],TPBE[TPBE],0)),"")</f>
        <v/>
      </c>
      <c r="AD17" s="200">
        <f>SUMIFS(TPBE[FC Surplus Amount],TPBE[Group],Requests[[#This Row],[Sector]])</f>
        <v>0</v>
      </c>
      <c r="AE17" s="200">
        <f>-SUMIFS(Requests[Adj. Amount],Requests[Sector],Requests[[#This Row],[Sector]],Requests[Adj. Amount],"&lt;0")</f>
        <v>0</v>
      </c>
      <c r="AF17" s="200">
        <f>SUMIFS(Requests[Adj. Amount],Requests[Adj. Amount],"&gt;0",Requests[Sector],Requests[[#This Row],[Sector]])</f>
        <v>0</v>
      </c>
      <c r="AG17" s="200" t="b">
        <f>SUMIFS(Requests[Adj. Amount],Requests[Adj. Amount],"&gt;0",Requests[Sector],Requests[[#This Row],[Sector]],Requests[Sector],"&lt;&gt;")&lt;=SUMIFS(Surplus[Surplus],Surplus[Sector],Requests[[#This Row],[Sector]])</f>
        <v>1</v>
      </c>
      <c r="AH17" s="200">
        <f t="shared" si="0"/>
        <v>2</v>
      </c>
      <c r="AI17" s="200" t="b">
        <f>COUNTBLANK(Requests[[#This Row],[Reallocation Type]:[Amount]])&lt;=1</f>
        <v>0</v>
      </c>
    </row>
    <row r="18" spans="2:35" ht="30" customHeight="1" x14ac:dyDescent="0.35">
      <c r="B18" s="104" t="s">
        <v>63</v>
      </c>
      <c r="C18" s="101">
        <f>SUMIFS(Surplus[Surplus],Surplus[Sector],TPBE_Surplus[[#This Row],[Sector]])</f>
        <v>0</v>
      </c>
      <c r="D18" s="101">
        <f>SUMIFS(Requests[Adj. Amount],Requests[Sector],TPBE_Surplus[[#This Row],[Sector]],Requests[Adj. Amount],"&gt;0")</f>
        <v>0</v>
      </c>
      <c r="E18" s="121">
        <f>TPBE_Surplus[[#This Row],[FC Surplus]]-TPBE_Surplus[[#This Row],[Reallocated]]</f>
        <v>0</v>
      </c>
      <c r="G18" s="313"/>
      <c r="H18" s="136"/>
      <c r="I18" s="136"/>
      <c r="J18" s="136"/>
      <c r="K18" s="136"/>
      <c r="L18" s="135"/>
      <c r="M18" s="228" t="str">
        <f>IF(LEN(Requests[[#This Row],[Amount]])&gt;=1,IF(LEN(Requests[[#This Row],[TPBE]])=0,"Amount entered without TPBE",IF(LEN(Requests[[#This Row],[FC]])=0,"Amount entered without a corresponding functional centre",IF(AND(Requests[[#This Row],[Reallocation Type]]="Reallocation",SUM(Requests[[#This Row],[Adj. Amount]],Requests[[#This Row],[Column3]])&lt;0),"Not enough surplus in TPBE for selected reallocation",IF(AND(Requests[[#This Row],[Reallocation Type]]="Request",Requests[[#This Row],[Amount]]&gt;Requests[[#This Row],[Column2]]),"Not enough surplus available to support request","Good")))),"")</f>
        <v/>
      </c>
      <c r="N18" s="241"/>
      <c r="O18" s="242"/>
      <c r="P18" s="51"/>
      <c r="Q18" s="51"/>
      <c r="R18" s="51"/>
      <c r="S18" s="51"/>
      <c r="T18" s="51"/>
      <c r="U18" s="51"/>
      <c r="V18" s="51"/>
      <c r="W18" s="51"/>
      <c r="X18" s="51"/>
      <c r="Y18" s="51"/>
      <c r="Z18" s="45"/>
      <c r="AA18" s="199">
        <f>CHOOSE(_xlfn.IFNA(MATCH(Requests[[#This Row],[Reallocation Type]],{"Reallocation","Request"},0),2),-1,1)*ABS(Requests[[#This Row],[Amount]])</f>
        <v>0</v>
      </c>
      <c r="AB18" s="220" t="str">
        <f>IF(Requests[[#This Row],[Reallocation Type]]="Reallocation",SUMIFS(Surplus[Surplus],Surplus[TPBE],Requests[[#This Row],[TPBE]],Surplus[Functional Centre],Requests[[#This Row],[FC]]),"")</f>
        <v/>
      </c>
      <c r="AC18" s="200" t="str">
        <f>_xlfn.IFNA(INDEX(TPBE[Group],MATCH(Requests[[#This Row],[TPBE]],TPBE[TPBE],0)),"")</f>
        <v/>
      </c>
      <c r="AD18" s="200">
        <f>SUMIFS(TPBE[FC Surplus Amount],TPBE[Group],Requests[[#This Row],[Sector]])</f>
        <v>0</v>
      </c>
      <c r="AE18" s="200">
        <f>-SUMIFS(Requests[Adj. Amount],Requests[Sector],Requests[[#This Row],[Sector]],Requests[Adj. Amount],"&lt;0")</f>
        <v>0</v>
      </c>
      <c r="AF18" s="200">
        <f>SUMIFS(Requests[Adj. Amount],Requests[Adj. Amount],"&gt;0",Requests[Sector],Requests[[#This Row],[Sector]])</f>
        <v>0</v>
      </c>
      <c r="AG18" s="200" t="b">
        <f>SUMIFS(Requests[Adj. Amount],Requests[Adj. Amount],"&gt;0",Requests[Sector],Requests[[#This Row],[Sector]],Requests[Sector],"&lt;&gt;")&lt;=SUMIFS(Surplus[Surplus],Surplus[Sector],Requests[[#This Row],[Sector]])</f>
        <v>1</v>
      </c>
      <c r="AH18" s="200">
        <f t="shared" si="0"/>
        <v>2</v>
      </c>
      <c r="AI18" s="200" t="b">
        <f>COUNTBLANK(Requests[[#This Row],[Reallocation Type]:[Amount]])&lt;=1</f>
        <v>0</v>
      </c>
    </row>
    <row r="19" spans="2:35" ht="30" customHeight="1" x14ac:dyDescent="0.35">
      <c r="B19" s="104" t="s">
        <v>157</v>
      </c>
      <c r="C19" s="101">
        <f>SUMIFS(Surplus[Surplus],Surplus[Sector],TPBE_Surplus[[#This Row],[Sector]])</f>
        <v>0</v>
      </c>
      <c r="D19" s="101">
        <f>SUMIFS(Requests[Adj. Amount],Requests[Sector],TPBE_Surplus[[#This Row],[Sector]],Requests[Adj. Amount],"&gt;0")</f>
        <v>0</v>
      </c>
      <c r="E19" s="121">
        <f>TPBE_Surplus[[#This Row],[FC Surplus]]-TPBE_Surplus[[#This Row],[Reallocated]]</f>
        <v>0</v>
      </c>
      <c r="G19" s="313"/>
      <c r="H19" s="136"/>
      <c r="I19" s="136"/>
      <c r="J19" s="136"/>
      <c r="K19" s="136"/>
      <c r="L19" s="135"/>
      <c r="M19" s="228" t="str">
        <f>IF(LEN(Requests[[#This Row],[Amount]])&gt;=1,IF(LEN(Requests[[#This Row],[TPBE]])=0,"Amount entered without TPBE",IF(LEN(Requests[[#This Row],[FC]])=0,"Amount entered without a corresponding functional centre",IF(AND(Requests[[#This Row],[Reallocation Type]]="Reallocation",SUM(Requests[[#This Row],[Adj. Amount]],Requests[[#This Row],[Column3]])&lt;0),"Not enough surplus in TPBE for selected reallocation",IF(AND(Requests[[#This Row],[Reallocation Type]]="Request",Requests[[#This Row],[Amount]]&gt;Requests[[#This Row],[Column2]]),"Not enough surplus available to support request","Good")))),"")</f>
        <v/>
      </c>
      <c r="N19" s="241"/>
      <c r="O19" s="242"/>
      <c r="P19" s="51"/>
      <c r="Q19" s="51"/>
      <c r="R19" s="51"/>
      <c r="S19" s="51"/>
      <c r="T19" s="51"/>
      <c r="U19" s="51"/>
      <c r="V19" s="51"/>
      <c r="W19" s="51"/>
      <c r="X19" s="51"/>
      <c r="Y19" s="51"/>
      <c r="Z19" s="45"/>
      <c r="AA19" s="199">
        <f>CHOOSE(_xlfn.IFNA(MATCH(Requests[[#This Row],[Reallocation Type]],{"Reallocation","Request"},0),2),-1,1)*ABS(Requests[[#This Row],[Amount]])</f>
        <v>0</v>
      </c>
      <c r="AB19" s="220" t="str">
        <f>IF(Requests[[#This Row],[Reallocation Type]]="Reallocation",SUMIFS(Surplus[Surplus],Surplus[TPBE],Requests[[#This Row],[TPBE]],Surplus[Functional Centre],Requests[[#This Row],[FC]]),"")</f>
        <v/>
      </c>
      <c r="AC19" s="200" t="str">
        <f>_xlfn.IFNA(INDEX(TPBE[Group],MATCH(Requests[[#This Row],[TPBE]],TPBE[TPBE],0)),"")</f>
        <v/>
      </c>
      <c r="AD19" s="200">
        <f>SUMIFS(TPBE[FC Surplus Amount],TPBE[Group],Requests[[#This Row],[Sector]])</f>
        <v>0</v>
      </c>
      <c r="AE19" s="200">
        <f>-SUMIFS(Requests[Adj. Amount],Requests[Sector],Requests[[#This Row],[Sector]],Requests[Adj. Amount],"&lt;0")</f>
        <v>0</v>
      </c>
      <c r="AF19" s="200">
        <f>SUMIFS(Requests[Adj. Amount],Requests[Adj. Amount],"&gt;0",Requests[Sector],Requests[[#This Row],[Sector]])</f>
        <v>0</v>
      </c>
      <c r="AG19" s="200" t="b">
        <f>SUMIFS(Requests[Adj. Amount],Requests[Adj. Amount],"&gt;0",Requests[Sector],Requests[[#This Row],[Sector]],Requests[Sector],"&lt;&gt;")&lt;=SUMIFS(Surplus[Surplus],Surplus[Sector],Requests[[#This Row],[Sector]])</f>
        <v>1</v>
      </c>
      <c r="AH19" s="200">
        <f t="shared" si="0"/>
        <v>2</v>
      </c>
      <c r="AI19" s="200" t="b">
        <f>COUNTBLANK(Requests[[#This Row],[Reallocation Type]:[Amount]])&lt;=1</f>
        <v>0</v>
      </c>
    </row>
    <row r="20" spans="2:35" ht="30" customHeight="1" x14ac:dyDescent="0.35">
      <c r="B20" s="104" t="s">
        <v>158</v>
      </c>
      <c r="C20" s="232">
        <f>SUMIFS(Surplus[Surplus],Surplus[Sector],TPBE_Surplus[[#This Row],[Sector]])</f>
        <v>0</v>
      </c>
      <c r="D20" s="232">
        <f>SUMIFS(Requests[Adj. Amount],Requests[Sector],TPBE_Surplus[[#This Row],[Sector]],Requests[Adj. Amount],"&gt;0")</f>
        <v>0</v>
      </c>
      <c r="E20" s="121">
        <f>TPBE_Surplus[[#This Row],[FC Surplus]]-TPBE_Surplus[[#This Row],[Reallocated]]</f>
        <v>0</v>
      </c>
      <c r="G20" s="313"/>
      <c r="H20" s="136"/>
      <c r="I20" s="136"/>
      <c r="J20" s="136"/>
      <c r="K20" s="136"/>
      <c r="L20" s="135"/>
      <c r="M20" s="228" t="str">
        <f>IF(LEN(Requests[[#This Row],[Amount]])&gt;=1,IF(LEN(Requests[[#This Row],[TPBE]])=0,"Amount entered without TPBE",IF(LEN(Requests[[#This Row],[FC]])=0,"Amount entered without a corresponding functional centre",IF(AND(Requests[[#This Row],[Reallocation Type]]="Reallocation",SUM(Requests[[#This Row],[Adj. Amount]],Requests[[#This Row],[Column3]])&lt;0),"Not enough surplus in TPBE for selected reallocation",IF(AND(Requests[[#This Row],[Reallocation Type]]="Request",Requests[[#This Row],[Amount]]&gt;Requests[[#This Row],[Column2]]),"Not enough surplus available to support request","Good")))),"")</f>
        <v/>
      </c>
      <c r="N20" s="241"/>
      <c r="O20" s="242"/>
      <c r="P20" s="51"/>
      <c r="Q20" s="51"/>
      <c r="R20" s="51"/>
      <c r="S20" s="51"/>
      <c r="T20" s="51"/>
      <c r="U20" s="51"/>
      <c r="V20" s="51"/>
      <c r="W20" s="51"/>
      <c r="X20" s="51"/>
      <c r="Y20" s="51"/>
      <c r="Z20" s="45"/>
      <c r="AA20" s="199">
        <f>CHOOSE(_xlfn.IFNA(MATCH(Requests[[#This Row],[Reallocation Type]],{"Reallocation","Request"},0),2),-1,1)*ABS(Requests[[#This Row],[Amount]])</f>
        <v>0</v>
      </c>
      <c r="AB20" s="220" t="str">
        <f>IF(Requests[[#This Row],[Reallocation Type]]="Reallocation",SUMIFS(Surplus[Surplus],Surplus[TPBE],Requests[[#This Row],[TPBE]],Surplus[Functional Centre],Requests[[#This Row],[FC]]),"")</f>
        <v/>
      </c>
      <c r="AC20" s="200" t="str">
        <f>_xlfn.IFNA(INDEX(TPBE[Group],MATCH(Requests[[#This Row],[TPBE]],TPBE[TPBE],0)),"")</f>
        <v/>
      </c>
      <c r="AD20" s="200">
        <f>SUMIFS(TPBE[FC Surplus Amount],TPBE[Group],Requests[[#This Row],[Sector]])</f>
        <v>0</v>
      </c>
      <c r="AE20" s="200">
        <f>-SUMIFS(Requests[Adj. Amount],Requests[Sector],Requests[[#This Row],[Sector]],Requests[Adj. Amount],"&lt;0")</f>
        <v>0</v>
      </c>
      <c r="AF20" s="200">
        <f>SUMIFS(Requests[Adj. Amount],Requests[Adj. Amount],"&gt;0",Requests[Sector],Requests[[#This Row],[Sector]])</f>
        <v>0</v>
      </c>
      <c r="AG20" s="200" t="b">
        <f>SUMIFS(Requests[Adj. Amount],Requests[Adj. Amount],"&gt;0",Requests[Sector],Requests[[#This Row],[Sector]],Requests[Sector],"&lt;&gt;")&lt;=SUMIFS(Surplus[Surplus],Surplus[Sector],Requests[[#This Row],[Sector]])</f>
        <v>1</v>
      </c>
      <c r="AH20" s="200">
        <f t="shared" si="0"/>
        <v>2</v>
      </c>
      <c r="AI20" s="200" t="b">
        <f>COUNTBLANK(Requests[[#This Row],[Reallocation Type]:[Amount]])&lt;=1</f>
        <v>0</v>
      </c>
    </row>
    <row r="21" spans="2:35" ht="30" customHeight="1" x14ac:dyDescent="0.35">
      <c r="B21" s="104" t="s">
        <v>159</v>
      </c>
      <c r="C21" s="232">
        <f>SUMIFS(Surplus[Surplus],Surplus[Sector],TPBE_Surplus[[#This Row],[Sector]])</f>
        <v>0</v>
      </c>
      <c r="D21" s="232">
        <f>SUMIFS(Requests[Adj. Amount],Requests[Sector],TPBE_Surplus[[#This Row],[Sector]],Requests[Adj. Amount],"&gt;0")</f>
        <v>0</v>
      </c>
      <c r="E21" s="121">
        <f>TPBE_Surplus[[#This Row],[FC Surplus]]-TPBE_Surplus[[#This Row],[Reallocated]]</f>
        <v>0</v>
      </c>
      <c r="G21" s="313"/>
      <c r="H21" s="136"/>
      <c r="I21" s="136"/>
      <c r="J21" s="136"/>
      <c r="K21" s="136"/>
      <c r="L21" s="135"/>
      <c r="M21" s="228" t="str">
        <f>IF(LEN(Requests[[#This Row],[Amount]])&gt;=1,IF(LEN(Requests[[#This Row],[TPBE]])=0,"Amount entered without TPBE",IF(LEN(Requests[[#This Row],[FC]])=0,"Amount entered without a corresponding functional centre",IF(AND(Requests[[#This Row],[Reallocation Type]]="Reallocation",SUM(Requests[[#This Row],[Adj. Amount]],Requests[[#This Row],[Column3]])&lt;0),"Not enough surplus in TPBE for selected reallocation",IF(AND(Requests[[#This Row],[Reallocation Type]]="Request",Requests[[#This Row],[Amount]]&gt;Requests[[#This Row],[Column2]]),"Not enough surplus available to support request","Good")))),"")</f>
        <v/>
      </c>
      <c r="N21" s="241"/>
      <c r="O21" s="242"/>
      <c r="P21" s="51"/>
      <c r="Q21" s="51"/>
      <c r="R21" s="51"/>
      <c r="S21" s="51"/>
      <c r="T21" s="51"/>
      <c r="U21" s="51"/>
      <c r="V21" s="51"/>
      <c r="W21" s="51"/>
      <c r="X21" s="51"/>
      <c r="Y21" s="51"/>
      <c r="Z21" s="45"/>
      <c r="AA21" s="199">
        <f>CHOOSE(_xlfn.IFNA(MATCH(Requests[[#This Row],[Reallocation Type]],{"Reallocation","Request"},0),2),-1,1)*ABS(Requests[[#This Row],[Amount]])</f>
        <v>0</v>
      </c>
      <c r="AB21" s="220" t="str">
        <f>IF(Requests[[#This Row],[Reallocation Type]]="Reallocation",SUMIFS(Surplus[Surplus],Surplus[TPBE],Requests[[#This Row],[TPBE]],Surplus[Functional Centre],Requests[[#This Row],[FC]]),"")</f>
        <v/>
      </c>
      <c r="AC21" s="200" t="str">
        <f>_xlfn.IFNA(INDEX(TPBE[Group],MATCH(Requests[[#This Row],[TPBE]],TPBE[TPBE],0)),"")</f>
        <v/>
      </c>
      <c r="AD21" s="200">
        <f>SUMIFS(TPBE[FC Surplus Amount],TPBE[Group],Requests[[#This Row],[Sector]])</f>
        <v>0</v>
      </c>
      <c r="AE21" s="200">
        <f>-SUMIFS(Requests[Adj. Amount],Requests[Sector],Requests[[#This Row],[Sector]],Requests[Adj. Amount],"&lt;0")</f>
        <v>0</v>
      </c>
      <c r="AF21" s="200">
        <f>SUMIFS(Requests[Adj. Amount],Requests[Adj. Amount],"&gt;0",Requests[Sector],Requests[[#This Row],[Sector]])</f>
        <v>0</v>
      </c>
      <c r="AG21" s="200" t="b">
        <f>SUMIFS(Requests[Adj. Amount],Requests[Adj. Amount],"&gt;0",Requests[Sector],Requests[[#This Row],[Sector]],Requests[Sector],"&lt;&gt;")&lt;=SUMIFS(Surplus[Surplus],Surplus[Sector],Requests[[#This Row],[Sector]])</f>
        <v>1</v>
      </c>
      <c r="AH21" s="200">
        <f t="shared" si="0"/>
        <v>2</v>
      </c>
      <c r="AI21" s="200" t="b">
        <f>COUNTBLANK(Requests[[#This Row],[Reallocation Type]:[Amount]])&lt;=1</f>
        <v>0</v>
      </c>
    </row>
    <row r="22" spans="2:35" ht="30" customHeight="1" x14ac:dyDescent="0.35">
      <c r="B22" s="104" t="s">
        <v>160</v>
      </c>
      <c r="C22" s="232">
        <f>SUMIFS(Surplus[Surplus],Surplus[Sector],TPBE_Surplus[[#This Row],[Sector]])</f>
        <v>0</v>
      </c>
      <c r="D22" s="232">
        <f>SUMIFS(Requests[Adj. Amount],Requests[Sector],TPBE_Surplus[[#This Row],[Sector]],Requests[Adj. Amount],"&gt;0")</f>
        <v>0</v>
      </c>
      <c r="E22" s="121">
        <f>TPBE_Surplus[[#This Row],[FC Surplus]]-TPBE_Surplus[[#This Row],[Reallocated]]</f>
        <v>0</v>
      </c>
      <c r="G22" s="313"/>
      <c r="H22" s="136"/>
      <c r="I22" s="136"/>
      <c r="J22" s="136"/>
      <c r="K22" s="136"/>
      <c r="L22" s="135"/>
      <c r="M22" s="228" t="str">
        <f>IF(LEN(Requests[[#This Row],[Amount]])&gt;=1,IF(LEN(Requests[[#This Row],[TPBE]])=0,"Amount entered without TPBE",IF(LEN(Requests[[#This Row],[FC]])=0,"Amount entered without a corresponding functional centre",IF(AND(Requests[[#This Row],[Reallocation Type]]="Reallocation",SUM(Requests[[#This Row],[Adj. Amount]],Requests[[#This Row],[Column3]])&lt;0),"Not enough surplus in TPBE for selected reallocation",IF(AND(Requests[[#This Row],[Reallocation Type]]="Request",Requests[[#This Row],[Amount]]&gt;Requests[[#This Row],[Column2]]),"Not enough surplus available to support request","Good")))),"")</f>
        <v/>
      </c>
      <c r="N22" s="241"/>
      <c r="O22" s="242"/>
      <c r="P22" s="51"/>
      <c r="Q22" s="51"/>
      <c r="R22" s="51"/>
      <c r="S22" s="51"/>
      <c r="T22" s="51"/>
      <c r="U22" s="51"/>
      <c r="V22" s="51"/>
      <c r="W22" s="51"/>
      <c r="X22" s="51"/>
      <c r="Y22" s="51"/>
      <c r="Z22" s="45"/>
      <c r="AA22" s="199">
        <f>CHOOSE(_xlfn.IFNA(MATCH(Requests[[#This Row],[Reallocation Type]],{"Reallocation","Request"},0),2),-1,1)*ABS(Requests[[#This Row],[Amount]])</f>
        <v>0</v>
      </c>
      <c r="AB22" s="220" t="str">
        <f>IF(Requests[[#This Row],[Reallocation Type]]="Reallocation",SUMIFS(Surplus[Surplus],Surplus[TPBE],Requests[[#This Row],[TPBE]],Surplus[Functional Centre],Requests[[#This Row],[FC]]),"")</f>
        <v/>
      </c>
      <c r="AC22" s="200" t="str">
        <f>_xlfn.IFNA(INDEX(TPBE[Group],MATCH(Requests[[#This Row],[TPBE]],TPBE[TPBE],0)),"")</f>
        <v/>
      </c>
      <c r="AD22" s="200">
        <f>SUMIFS(TPBE[FC Surplus Amount],TPBE[Group],Requests[[#This Row],[Sector]])</f>
        <v>0</v>
      </c>
      <c r="AE22" s="200">
        <f>-SUMIFS(Requests[Adj. Amount],Requests[Sector],Requests[[#This Row],[Sector]],Requests[Adj. Amount],"&lt;0")</f>
        <v>0</v>
      </c>
      <c r="AF22" s="200">
        <f>SUMIFS(Requests[Adj. Amount],Requests[Adj. Amount],"&gt;0",Requests[Sector],Requests[[#This Row],[Sector]])</f>
        <v>0</v>
      </c>
      <c r="AG22" s="200" t="b">
        <f>SUMIFS(Requests[Adj. Amount],Requests[Adj. Amount],"&gt;0",Requests[Sector],Requests[[#This Row],[Sector]],Requests[Sector],"&lt;&gt;")&lt;=SUMIFS(Surplus[Surplus],Surplus[Sector],Requests[[#This Row],[Sector]])</f>
        <v>1</v>
      </c>
      <c r="AH22" s="200">
        <f t="shared" si="0"/>
        <v>2</v>
      </c>
      <c r="AI22" s="200" t="b">
        <f>COUNTBLANK(Requests[[#This Row],[Reallocation Type]:[Amount]])&lt;=1</f>
        <v>0</v>
      </c>
    </row>
    <row r="23" spans="2:35" ht="30" customHeight="1" x14ac:dyDescent="0.35">
      <c r="B23" s="104" t="s">
        <v>161</v>
      </c>
      <c r="C23" s="232">
        <f>SUMIFS(Surplus[Surplus],Surplus[Sector],TPBE_Surplus[[#This Row],[Sector]])</f>
        <v>0</v>
      </c>
      <c r="D23" s="232">
        <f>SUMIFS(Requests[Adj. Amount],Requests[Sector],TPBE_Surplus[[#This Row],[Sector]],Requests[Adj. Amount],"&gt;0")</f>
        <v>0</v>
      </c>
      <c r="E23" s="121">
        <f>TPBE_Surplus[[#This Row],[FC Surplus]]-TPBE_Surplus[[#This Row],[Reallocated]]</f>
        <v>0</v>
      </c>
      <c r="G23" s="313"/>
      <c r="H23" s="136"/>
      <c r="I23" s="136"/>
      <c r="J23" s="136"/>
      <c r="K23" s="136"/>
      <c r="L23" s="135"/>
      <c r="M23" s="228" t="str">
        <f>IF(LEN(Requests[[#This Row],[Amount]])&gt;=1,IF(LEN(Requests[[#This Row],[TPBE]])=0,"Amount entered without TPBE",IF(LEN(Requests[[#This Row],[FC]])=0,"Amount entered without a corresponding functional centre",IF(AND(Requests[[#This Row],[Reallocation Type]]="Reallocation",SUM(Requests[[#This Row],[Adj. Amount]],Requests[[#This Row],[Column3]])&lt;0),"Not enough surplus in TPBE for selected reallocation",IF(AND(Requests[[#This Row],[Reallocation Type]]="Request",Requests[[#This Row],[Amount]]&gt;Requests[[#This Row],[Column2]]),"Not enough surplus available to support request","Good")))),"")</f>
        <v/>
      </c>
      <c r="N23" s="241"/>
      <c r="O23" s="242"/>
      <c r="P23" s="51"/>
      <c r="Q23" s="51"/>
      <c r="R23" s="51"/>
      <c r="S23" s="51"/>
      <c r="T23" s="51"/>
      <c r="U23" s="51"/>
      <c r="V23" s="51"/>
      <c r="W23" s="51"/>
      <c r="X23" s="51"/>
      <c r="Y23" s="51"/>
      <c r="Z23" s="45"/>
      <c r="AA23" s="199">
        <f>CHOOSE(_xlfn.IFNA(MATCH(Requests[[#This Row],[Reallocation Type]],{"Reallocation","Request"},0),2),-1,1)*ABS(Requests[[#This Row],[Amount]])</f>
        <v>0</v>
      </c>
      <c r="AB23" s="220" t="str">
        <f>IF(Requests[[#This Row],[Reallocation Type]]="Reallocation",SUMIFS(Surplus[Surplus],Surplus[TPBE],Requests[[#This Row],[TPBE]],Surplus[Functional Centre],Requests[[#This Row],[FC]]),"")</f>
        <v/>
      </c>
      <c r="AC23" s="200" t="str">
        <f>_xlfn.IFNA(INDEX(TPBE[Group],MATCH(Requests[[#This Row],[TPBE]],TPBE[TPBE],0)),"")</f>
        <v/>
      </c>
      <c r="AD23" s="200">
        <f>SUMIFS(TPBE[FC Surplus Amount],TPBE[Group],Requests[[#This Row],[Sector]])</f>
        <v>0</v>
      </c>
      <c r="AE23" s="200">
        <f>-SUMIFS(Requests[Adj. Amount],Requests[Sector],Requests[[#This Row],[Sector]],Requests[Adj. Amount],"&lt;0")</f>
        <v>0</v>
      </c>
      <c r="AF23" s="200">
        <f>SUMIFS(Requests[Adj. Amount],Requests[Adj. Amount],"&gt;0",Requests[Sector],Requests[[#This Row],[Sector]])</f>
        <v>0</v>
      </c>
      <c r="AG23" s="200" t="b">
        <f>SUMIFS(Requests[Adj. Amount],Requests[Adj. Amount],"&gt;0",Requests[Sector],Requests[[#This Row],[Sector]],Requests[Sector],"&lt;&gt;")&lt;=SUMIFS(Surplus[Surplus],Surplus[Sector],Requests[[#This Row],[Sector]])</f>
        <v>1</v>
      </c>
      <c r="AH23" s="200">
        <f t="shared" si="0"/>
        <v>2</v>
      </c>
      <c r="AI23" s="200" t="b">
        <f>COUNTBLANK(Requests[[#This Row],[Reallocation Type]:[Amount]])&lt;=1</f>
        <v>0</v>
      </c>
    </row>
    <row r="24" spans="2:35" ht="30" customHeight="1" thickBot="1" x14ac:dyDescent="0.4">
      <c r="B24" s="106" t="s">
        <v>162</v>
      </c>
      <c r="C24" s="105">
        <f>SUMIFS(Surplus[Surplus],Surplus[Sector],TPBE_Surplus[[#This Row],[Sector]])</f>
        <v>0</v>
      </c>
      <c r="D24" s="105">
        <f>SUMIFS(Requests[Adj. Amount],Requests[Sector],TPBE_Surplus[[#This Row],[Sector]],Requests[Adj. Amount],"&gt;0")</f>
        <v>0</v>
      </c>
      <c r="E24" s="122">
        <f>TPBE_Surplus[[#This Row],[FC Surplus]]-TPBE_Surplus[[#This Row],[Reallocated]]</f>
        <v>0</v>
      </c>
      <c r="G24" s="313"/>
      <c r="H24" s="136"/>
      <c r="I24" s="136"/>
      <c r="J24" s="136"/>
      <c r="K24" s="136"/>
      <c r="L24" s="135"/>
      <c r="M24" s="228" t="str">
        <f>IF(LEN(Requests[[#This Row],[Amount]])&gt;=1,IF(LEN(Requests[[#This Row],[TPBE]])=0,"Amount entered without TPBE",IF(LEN(Requests[[#This Row],[FC]])=0,"Amount entered without a corresponding functional centre",IF(AND(Requests[[#This Row],[Reallocation Type]]="Reallocation",SUM(Requests[[#This Row],[Adj. Amount]],Requests[[#This Row],[Column3]])&lt;0),"Not enough surplus in TPBE for selected reallocation",IF(AND(Requests[[#This Row],[Reallocation Type]]="Request",Requests[[#This Row],[Amount]]&gt;Requests[[#This Row],[Column2]]),"Not enough surplus available to support request","Good")))),"")</f>
        <v/>
      </c>
      <c r="N24" s="241"/>
      <c r="O24" s="242"/>
      <c r="P24" s="51"/>
      <c r="Q24" s="51"/>
      <c r="R24" s="51"/>
      <c r="S24" s="51"/>
      <c r="T24" s="51"/>
      <c r="U24" s="51"/>
      <c r="V24" s="51"/>
      <c r="W24" s="51"/>
      <c r="X24" s="51"/>
      <c r="Y24" s="51"/>
      <c r="Z24" s="45"/>
      <c r="AA24" s="199">
        <f>CHOOSE(_xlfn.IFNA(MATCH(Requests[[#This Row],[Reallocation Type]],{"Reallocation","Request"},0),2),-1,1)*ABS(Requests[[#This Row],[Amount]])</f>
        <v>0</v>
      </c>
      <c r="AB24" s="220" t="str">
        <f>IF(Requests[[#This Row],[Reallocation Type]]="Reallocation",SUMIFS(Surplus[Surplus],Surplus[TPBE],Requests[[#This Row],[TPBE]],Surplus[Functional Centre],Requests[[#This Row],[FC]]),"")</f>
        <v/>
      </c>
      <c r="AC24" s="200" t="str">
        <f>_xlfn.IFNA(INDEX(TPBE[Group],MATCH(Requests[[#This Row],[TPBE]],TPBE[TPBE],0)),"")</f>
        <v/>
      </c>
      <c r="AD24" s="200">
        <f>SUMIFS(TPBE[FC Surplus Amount],TPBE[Group],Requests[[#This Row],[Sector]])</f>
        <v>0</v>
      </c>
      <c r="AE24" s="200">
        <f>-SUMIFS(Requests[Adj. Amount],Requests[Sector],Requests[[#This Row],[Sector]],Requests[Adj. Amount],"&lt;0")</f>
        <v>0</v>
      </c>
      <c r="AF24" s="200">
        <f>SUMIFS(Requests[Adj. Amount],Requests[Adj. Amount],"&gt;0",Requests[Sector],Requests[[#This Row],[Sector]])</f>
        <v>0</v>
      </c>
      <c r="AG24" s="200" t="b">
        <f>SUMIFS(Requests[Adj. Amount],Requests[Adj. Amount],"&gt;0",Requests[Sector],Requests[[#This Row],[Sector]],Requests[Sector],"&lt;&gt;")&lt;=SUMIFS(Surplus[Surplus],Surplus[Sector],Requests[[#This Row],[Sector]])</f>
        <v>1</v>
      </c>
      <c r="AH24" s="200">
        <f t="shared" si="0"/>
        <v>2</v>
      </c>
      <c r="AI24" s="200" t="b">
        <f>COUNTBLANK(Requests[[#This Row],[Reallocation Type]:[Amount]])&lt;=1</f>
        <v>0</v>
      </c>
    </row>
    <row r="25" spans="2:35" ht="30" customHeight="1" thickBot="1" x14ac:dyDescent="0.4">
      <c r="B25" s="116" t="s">
        <v>163</v>
      </c>
      <c r="C25" s="117">
        <f>SUBTOTAL(109,TPBE_Surplus[FC Surplus])</f>
        <v>0</v>
      </c>
      <c r="D25" s="118">
        <f>SUBTOTAL(109,TPBE_Surplus[Reallocated])</f>
        <v>0</v>
      </c>
      <c r="E25" s="119">
        <f>SUBTOTAL(109,TPBE_Surplus[Recovery])</f>
        <v>0</v>
      </c>
      <c r="G25" s="313"/>
      <c r="H25" s="136"/>
      <c r="I25" s="136"/>
      <c r="J25" s="136"/>
      <c r="K25" s="136"/>
      <c r="L25" s="135"/>
      <c r="M25" s="228" t="str">
        <f>IF(LEN(Requests[[#This Row],[Amount]])&gt;=1,IF(LEN(Requests[[#This Row],[TPBE]])=0,"Amount entered without TPBE",IF(LEN(Requests[[#This Row],[FC]])=0,"Amount entered without a corresponding functional centre",IF(AND(Requests[[#This Row],[Reallocation Type]]="Reallocation",SUM(Requests[[#This Row],[Adj. Amount]],Requests[[#This Row],[Column3]])&lt;0),"Not enough surplus in TPBE for selected reallocation",IF(AND(Requests[[#This Row],[Reallocation Type]]="Request",Requests[[#This Row],[Amount]]&gt;Requests[[#This Row],[Column2]]),"Not enough surplus available to support request","Good")))),"")</f>
        <v/>
      </c>
      <c r="N25" s="241"/>
      <c r="O25" s="242"/>
      <c r="P25" s="51"/>
      <c r="Q25" s="51"/>
      <c r="R25" s="51"/>
      <c r="S25" s="51"/>
      <c r="T25" s="51"/>
      <c r="U25" s="51"/>
      <c r="V25" s="51"/>
      <c r="W25" s="51"/>
      <c r="X25" s="51"/>
      <c r="Y25" s="51"/>
      <c r="Z25" s="45"/>
      <c r="AA25" s="199">
        <f>CHOOSE(_xlfn.IFNA(MATCH(Requests[[#This Row],[Reallocation Type]],{"Reallocation","Request"},0),2),-1,1)*ABS(Requests[[#This Row],[Amount]])</f>
        <v>0</v>
      </c>
      <c r="AB25" s="220" t="str">
        <f>IF(Requests[[#This Row],[Reallocation Type]]="Reallocation",SUMIFS(Surplus[Surplus],Surplus[TPBE],Requests[[#This Row],[TPBE]],Surplus[Functional Centre],Requests[[#This Row],[FC]]),"")</f>
        <v/>
      </c>
      <c r="AC25" s="200" t="str">
        <f>_xlfn.IFNA(INDEX(TPBE[Group],MATCH(Requests[[#This Row],[TPBE]],TPBE[TPBE],0)),"")</f>
        <v/>
      </c>
      <c r="AD25" s="200">
        <f>SUMIFS(TPBE[FC Surplus Amount],TPBE[Group],Requests[[#This Row],[Sector]])</f>
        <v>0</v>
      </c>
      <c r="AE25" s="200">
        <f>-SUMIFS(Requests[Adj. Amount],Requests[Sector],Requests[[#This Row],[Sector]],Requests[Adj. Amount],"&lt;0")</f>
        <v>0</v>
      </c>
      <c r="AF25" s="200">
        <f>SUMIFS(Requests[Adj. Amount],Requests[Adj. Amount],"&gt;0",Requests[Sector],Requests[[#This Row],[Sector]])</f>
        <v>0</v>
      </c>
      <c r="AG25" s="200" t="b">
        <f>SUMIFS(Requests[Adj. Amount],Requests[Adj. Amount],"&gt;0",Requests[Sector],Requests[[#This Row],[Sector]],Requests[Sector],"&lt;&gt;")&lt;=SUMIFS(Surplus[Surplus],Surplus[Sector],Requests[[#This Row],[Sector]])</f>
        <v>1</v>
      </c>
      <c r="AH25" s="200">
        <f t="shared" si="0"/>
        <v>2</v>
      </c>
      <c r="AI25" s="200" t="b">
        <f>COUNTBLANK(Requests[[#This Row],[Reallocation Type]:[Amount]])&lt;=1</f>
        <v>0</v>
      </c>
    </row>
    <row r="26" spans="2:35" ht="30" customHeight="1" x14ac:dyDescent="0.35">
      <c r="G26" s="313"/>
      <c r="H26" s="136"/>
      <c r="I26" s="136"/>
      <c r="J26" s="136"/>
      <c r="K26" s="136"/>
      <c r="L26" s="137"/>
      <c r="M26" s="229" t="str">
        <f>IF(LEN(Requests[[#This Row],[Amount]])&gt;=1,IF(LEN(Requests[[#This Row],[TPBE]])=0,"Amount entered without TPBE",IF(LEN(Requests[[#This Row],[FC]])=0,"Amount entered without a corresponding functional centre",IF(AND(Requests[[#This Row],[Reallocation Type]]="Reallocation",SUM(Requests[[#This Row],[Adj. Amount]],Requests[[#This Row],[Column3]])&lt;0),"Not enough surplus in TPBE for selected reallocation",IF(AND(Requests[[#This Row],[Reallocation Type]]="Request",Requests[[#This Row],[Amount]]&gt;Requests[[#This Row],[Column2]]),"Not enough surplus available to support request","Good")))),"")</f>
        <v/>
      </c>
      <c r="N26" s="50"/>
      <c r="O26" s="51"/>
      <c r="P26" s="51"/>
      <c r="Q26" s="51"/>
      <c r="R26" s="51"/>
      <c r="S26" s="51"/>
      <c r="T26" s="51"/>
      <c r="U26" s="51"/>
      <c r="V26" s="51"/>
      <c r="W26" s="51"/>
      <c r="X26" s="51"/>
      <c r="Y26" s="51"/>
      <c r="Z26" s="45"/>
      <c r="AA26" s="201">
        <f>CHOOSE(_xlfn.IFNA(MATCH(Requests[[#This Row],[Reallocation Type]],{"Reallocation","Request"},0),2),-1,1)*ABS(Requests[[#This Row],[Amount]])</f>
        <v>0</v>
      </c>
      <c r="AB26" s="221" t="str">
        <f>IF(Requests[[#This Row],[Reallocation Type]]="Reallocation",SUMIFS(Surplus[Surplus],Surplus[TPBE],Requests[[#This Row],[TPBE]],Surplus[Functional Centre],Requests[[#This Row],[FC]]),"")</f>
        <v/>
      </c>
      <c r="AC26" s="200" t="str">
        <f>_xlfn.IFNA(INDEX(TPBE[Group],MATCH(Requests[[#This Row],[TPBE]],TPBE[TPBE],0)),"")</f>
        <v/>
      </c>
      <c r="AD26" s="200">
        <f>SUMIFS(TPBE[FC Surplus Amount],TPBE[Group],Requests[[#This Row],[Sector]])</f>
        <v>0</v>
      </c>
      <c r="AE26" s="200">
        <f>-SUMIFS(Requests[Adj. Amount],Requests[Sector],Requests[[#This Row],[Sector]],Requests[Adj. Amount],"&lt;0")</f>
        <v>0</v>
      </c>
      <c r="AF26" s="200">
        <f>SUMIFS(Requests[Adj. Amount],Requests[Adj. Amount],"&gt;0",Requests[Sector],Requests[[#This Row],[Sector]])</f>
        <v>0</v>
      </c>
      <c r="AG26" s="200" t="b">
        <f>SUMIFS(Requests[Adj. Amount],Requests[Adj. Amount],"&gt;0",Requests[Sector],Requests[[#This Row],[Sector]],Requests[Sector],"&lt;&gt;")&lt;=SUMIFS(Surplus[Surplus],Surplus[Sector],Requests[[#This Row],[Sector]])</f>
        <v>1</v>
      </c>
      <c r="AH26" s="200">
        <f t="shared" si="0"/>
        <v>2</v>
      </c>
      <c r="AI26" s="200" t="b">
        <f>COUNTBLANK(Requests[[#This Row],[Reallocation Type]:[Amount]])&lt;=1</f>
        <v>0</v>
      </c>
    </row>
    <row r="27" spans="2:35" ht="30" customHeight="1" x14ac:dyDescent="0.35">
      <c r="G27" s="313"/>
      <c r="H27" s="136"/>
      <c r="I27" s="136"/>
      <c r="J27" s="136"/>
      <c r="K27" s="136"/>
      <c r="L27" s="137"/>
      <c r="M27" s="229" t="str">
        <f>IF(LEN(Requests[[#This Row],[Amount]])&gt;=1,IF(LEN(Requests[[#This Row],[TPBE]])=0,"Amount entered without TPBE",IF(LEN(Requests[[#This Row],[FC]])=0,"Amount entered without a corresponding functional centre",IF(AND(Requests[[#This Row],[Reallocation Type]]="Reallocation",SUM(Requests[[#This Row],[Adj. Amount]],Requests[[#This Row],[Column3]])&lt;0),"Not enough surplus in TPBE for selected reallocation",IF(AND(Requests[[#This Row],[Reallocation Type]]="Request",Requests[[#This Row],[Amount]]&gt;Requests[[#This Row],[Column2]]),"Not enough surplus available to support request","Good")))),"")</f>
        <v/>
      </c>
      <c r="N27" s="50"/>
      <c r="O27" s="51"/>
      <c r="P27" s="51"/>
      <c r="Q27" s="51"/>
      <c r="R27" s="51"/>
      <c r="S27" s="51"/>
      <c r="T27" s="51"/>
      <c r="U27" s="51"/>
      <c r="V27" s="51"/>
      <c r="W27" s="51"/>
      <c r="X27" s="51"/>
      <c r="Y27" s="51"/>
      <c r="Z27" s="45"/>
      <c r="AA27" s="201">
        <f>CHOOSE(_xlfn.IFNA(MATCH(Requests[[#This Row],[Reallocation Type]],{"Reallocation","Request"},0),2),-1,1)*ABS(Requests[[#This Row],[Amount]])</f>
        <v>0</v>
      </c>
      <c r="AB27" s="221" t="str">
        <f>IF(Requests[[#This Row],[Reallocation Type]]="Reallocation",SUMIFS(Surplus[Surplus],Surplus[TPBE],Requests[[#This Row],[TPBE]],Surplus[Functional Centre],Requests[[#This Row],[FC]]),"")</f>
        <v/>
      </c>
      <c r="AC27" s="200" t="str">
        <f>_xlfn.IFNA(INDEX(TPBE[Group],MATCH(Requests[[#This Row],[TPBE]],TPBE[TPBE],0)),"")</f>
        <v/>
      </c>
      <c r="AD27" s="200">
        <f>SUMIFS(TPBE[FC Surplus Amount],TPBE[Group],Requests[[#This Row],[Sector]])</f>
        <v>0</v>
      </c>
      <c r="AE27" s="200">
        <f>-SUMIFS(Requests[Adj. Amount],Requests[Sector],Requests[[#This Row],[Sector]],Requests[Adj. Amount],"&lt;0")</f>
        <v>0</v>
      </c>
      <c r="AF27" s="200">
        <f>SUMIFS(Requests[Adj. Amount],Requests[Adj. Amount],"&gt;0",Requests[Sector],Requests[[#This Row],[Sector]])</f>
        <v>0</v>
      </c>
      <c r="AG27" s="200" t="b">
        <f>SUMIFS(Requests[Adj. Amount],Requests[Adj. Amount],"&gt;0",Requests[Sector],Requests[[#This Row],[Sector]],Requests[Sector],"&lt;&gt;")&lt;=SUMIFS(Surplus[Surplus],Surplus[Sector],Requests[[#This Row],[Sector]])</f>
        <v>1</v>
      </c>
      <c r="AH27" s="200">
        <f t="shared" si="0"/>
        <v>2</v>
      </c>
      <c r="AI27" s="200" t="b">
        <f>COUNTBLANK(Requests[[#This Row],[Reallocation Type]:[Amount]])&lt;=1</f>
        <v>0</v>
      </c>
    </row>
    <row r="28" spans="2:35" ht="30" customHeight="1" x14ac:dyDescent="0.35">
      <c r="G28" s="313"/>
      <c r="H28" s="136"/>
      <c r="I28" s="136"/>
      <c r="J28" s="136"/>
      <c r="K28" s="136"/>
      <c r="L28" s="137"/>
      <c r="M28" s="229" t="str">
        <f>IF(LEN(Requests[[#This Row],[Amount]])&gt;=1,IF(LEN(Requests[[#This Row],[TPBE]])=0,"Amount entered without TPBE",IF(LEN(Requests[[#This Row],[FC]])=0,"Amount entered without a corresponding functional centre",IF(AND(Requests[[#This Row],[Reallocation Type]]="Reallocation",SUM(Requests[[#This Row],[Adj. Amount]],Requests[[#This Row],[Column3]])&lt;0),"Not enough surplus in TPBE for selected reallocation",IF(AND(Requests[[#This Row],[Reallocation Type]]="Request",Requests[[#This Row],[Amount]]&gt;Requests[[#This Row],[Column2]]),"Not enough surplus available to support request","Good")))),"")</f>
        <v/>
      </c>
      <c r="N28" s="50"/>
      <c r="O28" s="51"/>
      <c r="P28" s="51"/>
      <c r="Q28" s="51"/>
      <c r="R28" s="51"/>
      <c r="S28" s="51"/>
      <c r="T28" s="51"/>
      <c r="U28" s="51"/>
      <c r="V28" s="51"/>
      <c r="W28" s="51"/>
      <c r="X28" s="51"/>
      <c r="Y28" s="51"/>
      <c r="Z28" s="45"/>
      <c r="AA28" s="201">
        <f>CHOOSE(_xlfn.IFNA(MATCH(Requests[[#This Row],[Reallocation Type]],{"Reallocation","Request"},0),2),-1,1)*ABS(Requests[[#This Row],[Amount]])</f>
        <v>0</v>
      </c>
      <c r="AB28" s="221" t="str">
        <f>IF(Requests[[#This Row],[Reallocation Type]]="Reallocation",SUMIFS(Surplus[Surplus],Surplus[TPBE],Requests[[#This Row],[TPBE]],Surplus[Functional Centre],Requests[[#This Row],[FC]]),"")</f>
        <v/>
      </c>
      <c r="AC28" s="200" t="str">
        <f>_xlfn.IFNA(INDEX(TPBE[Group],MATCH(Requests[[#This Row],[TPBE]],TPBE[TPBE],0)),"")</f>
        <v/>
      </c>
      <c r="AD28" s="200">
        <f>SUMIFS(TPBE[FC Surplus Amount],TPBE[Group],Requests[[#This Row],[Sector]])</f>
        <v>0</v>
      </c>
      <c r="AE28" s="200">
        <f>-SUMIFS(Requests[Adj. Amount],Requests[Sector],Requests[[#This Row],[Sector]],Requests[Adj. Amount],"&lt;0")</f>
        <v>0</v>
      </c>
      <c r="AF28" s="200">
        <f>SUMIFS(Requests[Adj. Amount],Requests[Adj. Amount],"&gt;0",Requests[Sector],Requests[[#This Row],[Sector]])</f>
        <v>0</v>
      </c>
      <c r="AG28" s="200" t="b">
        <f>SUMIFS(Requests[Adj. Amount],Requests[Adj. Amount],"&gt;0",Requests[Sector],Requests[[#This Row],[Sector]],Requests[Sector],"&lt;&gt;")&lt;=SUMIFS(Surplus[Surplus],Surplus[Sector],Requests[[#This Row],[Sector]])</f>
        <v>1</v>
      </c>
      <c r="AH28" s="200">
        <f t="shared" si="0"/>
        <v>2</v>
      </c>
      <c r="AI28" s="200" t="b">
        <f>COUNTBLANK(Requests[[#This Row],[Reallocation Type]:[Amount]])&lt;=1</f>
        <v>0</v>
      </c>
    </row>
    <row r="29" spans="2:35" ht="30" customHeight="1" x14ac:dyDescent="0.35">
      <c r="G29" s="313"/>
      <c r="H29" s="136"/>
      <c r="I29" s="136"/>
      <c r="J29" s="136"/>
      <c r="K29" s="136"/>
      <c r="L29" s="137"/>
      <c r="M29" s="229" t="str">
        <f>IF(LEN(Requests[[#This Row],[Amount]])&gt;=1,IF(LEN(Requests[[#This Row],[TPBE]])=0,"Amount entered without TPBE",IF(LEN(Requests[[#This Row],[FC]])=0,"Amount entered without a corresponding functional centre",IF(AND(Requests[[#This Row],[Reallocation Type]]="Reallocation",SUM(Requests[[#This Row],[Adj. Amount]],Requests[[#This Row],[Column3]])&lt;0),"Not enough surplus in TPBE for selected reallocation",IF(AND(Requests[[#This Row],[Reallocation Type]]="Request",Requests[[#This Row],[Amount]]&gt;Requests[[#This Row],[Column2]]),"Not enough surplus available to support request","Good")))),"")</f>
        <v/>
      </c>
      <c r="N29" s="50"/>
      <c r="O29" s="51"/>
      <c r="P29" s="51"/>
      <c r="Q29" s="51"/>
      <c r="R29" s="51"/>
      <c r="S29" s="51"/>
      <c r="T29" s="51"/>
      <c r="U29" s="51"/>
      <c r="V29" s="51"/>
      <c r="W29" s="51"/>
      <c r="X29" s="51"/>
      <c r="Y29" s="51"/>
      <c r="Z29" s="45"/>
      <c r="AA29" s="201">
        <f>CHOOSE(_xlfn.IFNA(MATCH(Requests[[#This Row],[Reallocation Type]],{"Reallocation","Request"},0),2),-1,1)*ABS(Requests[[#This Row],[Amount]])</f>
        <v>0</v>
      </c>
      <c r="AB29" s="221" t="str">
        <f>IF(Requests[[#This Row],[Reallocation Type]]="Reallocation",SUMIFS(Surplus[Surplus],Surplus[TPBE],Requests[[#This Row],[TPBE]],Surplus[Functional Centre],Requests[[#This Row],[FC]]),"")</f>
        <v/>
      </c>
      <c r="AC29" s="200" t="str">
        <f>_xlfn.IFNA(INDEX(TPBE[Group],MATCH(Requests[[#This Row],[TPBE]],TPBE[TPBE],0)),"")</f>
        <v/>
      </c>
      <c r="AD29" s="200">
        <f>SUMIFS(TPBE[FC Surplus Amount],TPBE[Group],Requests[[#This Row],[Sector]])</f>
        <v>0</v>
      </c>
      <c r="AE29" s="200">
        <f>-SUMIFS(Requests[Adj. Amount],Requests[Sector],Requests[[#This Row],[Sector]],Requests[Adj. Amount],"&lt;0")</f>
        <v>0</v>
      </c>
      <c r="AF29" s="200">
        <f>SUMIFS(Requests[Adj. Amount],Requests[Adj. Amount],"&gt;0",Requests[Sector],Requests[[#This Row],[Sector]])</f>
        <v>0</v>
      </c>
      <c r="AG29" s="200" t="b">
        <f>SUMIFS(Requests[Adj. Amount],Requests[Adj. Amount],"&gt;0",Requests[Sector],Requests[[#This Row],[Sector]],Requests[Sector],"&lt;&gt;")&lt;=SUMIFS(Surplus[Surplus],Surplus[Sector],Requests[[#This Row],[Sector]])</f>
        <v>1</v>
      </c>
      <c r="AH29" s="200">
        <f t="shared" si="0"/>
        <v>2</v>
      </c>
      <c r="AI29" s="200" t="b">
        <f>COUNTBLANK(Requests[[#This Row],[Reallocation Type]:[Amount]])&lt;=1</f>
        <v>0</v>
      </c>
    </row>
    <row r="30" spans="2:35" ht="30" customHeight="1" x14ac:dyDescent="0.35">
      <c r="G30" s="313"/>
      <c r="H30" s="136"/>
      <c r="I30" s="136"/>
      <c r="J30" s="136"/>
      <c r="K30" s="136"/>
      <c r="L30" s="137"/>
      <c r="M30" s="229" t="str">
        <f>IF(LEN(Requests[[#This Row],[Amount]])&gt;=1,IF(LEN(Requests[[#This Row],[TPBE]])=0,"Amount entered without TPBE",IF(LEN(Requests[[#This Row],[FC]])=0,"Amount entered without a corresponding functional centre",IF(AND(Requests[[#This Row],[Reallocation Type]]="Reallocation",SUM(Requests[[#This Row],[Adj. Amount]],Requests[[#This Row],[Column3]])&lt;0),"Not enough surplus in TPBE for selected reallocation",IF(AND(Requests[[#This Row],[Reallocation Type]]="Request",Requests[[#This Row],[Amount]]&gt;Requests[[#This Row],[Column2]]),"Not enough surplus available to support request","Good")))),"")</f>
        <v/>
      </c>
      <c r="N30" s="50"/>
      <c r="O30" s="51"/>
      <c r="P30" s="51"/>
      <c r="Q30" s="51"/>
      <c r="R30" s="51"/>
      <c r="S30" s="51"/>
      <c r="T30" s="51"/>
      <c r="U30" s="51"/>
      <c r="V30" s="51"/>
      <c r="W30" s="51"/>
      <c r="X30" s="51"/>
      <c r="Y30" s="51"/>
      <c r="Z30" s="45"/>
      <c r="AA30" s="201">
        <f>CHOOSE(_xlfn.IFNA(MATCH(Requests[[#This Row],[Reallocation Type]],{"Reallocation","Request"},0),2),-1,1)*ABS(Requests[[#This Row],[Amount]])</f>
        <v>0</v>
      </c>
      <c r="AB30" s="221" t="str">
        <f>IF(Requests[[#This Row],[Reallocation Type]]="Reallocation",SUMIFS(Surplus[Surplus],Surplus[TPBE],Requests[[#This Row],[TPBE]],Surplus[Functional Centre],Requests[[#This Row],[FC]]),"")</f>
        <v/>
      </c>
      <c r="AC30" s="200" t="str">
        <f>_xlfn.IFNA(INDEX(TPBE[Group],MATCH(Requests[[#This Row],[TPBE]],TPBE[TPBE],0)),"")</f>
        <v/>
      </c>
      <c r="AD30" s="200">
        <f>SUMIFS(TPBE[FC Surplus Amount],TPBE[Group],Requests[[#This Row],[Sector]])</f>
        <v>0</v>
      </c>
      <c r="AE30" s="200">
        <f>-SUMIFS(Requests[Adj. Amount],Requests[Sector],Requests[[#This Row],[Sector]],Requests[Adj. Amount],"&lt;0")</f>
        <v>0</v>
      </c>
      <c r="AF30" s="200">
        <f>SUMIFS(Requests[Adj. Amount],Requests[Adj. Amount],"&gt;0",Requests[Sector],Requests[[#This Row],[Sector]])</f>
        <v>0</v>
      </c>
      <c r="AG30" s="200" t="b">
        <f>SUMIFS(Requests[Adj. Amount],Requests[Adj. Amount],"&gt;0",Requests[Sector],Requests[[#This Row],[Sector]],Requests[Sector],"&lt;&gt;")&lt;=SUMIFS(Surplus[Surplus],Surplus[Sector],Requests[[#This Row],[Sector]])</f>
        <v>1</v>
      </c>
      <c r="AH30" s="200">
        <f t="shared" si="0"/>
        <v>2</v>
      </c>
      <c r="AI30" s="200" t="b">
        <f>COUNTBLANK(Requests[[#This Row],[Reallocation Type]:[Amount]])&lt;=1</f>
        <v>0</v>
      </c>
    </row>
    <row r="31" spans="2:35" ht="30" customHeight="1" x14ac:dyDescent="0.35">
      <c r="G31" s="313"/>
      <c r="H31" s="136"/>
      <c r="I31" s="136"/>
      <c r="J31" s="136"/>
      <c r="K31" s="136"/>
      <c r="L31" s="137"/>
      <c r="M31" s="229" t="str">
        <f>IF(LEN(Requests[[#This Row],[Amount]])&gt;=1,IF(LEN(Requests[[#This Row],[TPBE]])=0,"Amount entered without TPBE",IF(LEN(Requests[[#This Row],[FC]])=0,"Amount entered without a corresponding functional centre",IF(AND(Requests[[#This Row],[Reallocation Type]]="Reallocation",SUM(Requests[[#This Row],[Adj. Amount]],Requests[[#This Row],[Column3]])&lt;0),"Not enough surplus in TPBE for selected reallocation",IF(AND(Requests[[#This Row],[Reallocation Type]]="Request",Requests[[#This Row],[Amount]]&gt;Requests[[#This Row],[Column2]]),"Not enough surplus available to support request","Good")))),"")</f>
        <v/>
      </c>
      <c r="N31" s="50"/>
      <c r="O31" s="51"/>
      <c r="P31" s="51"/>
      <c r="Q31" s="51"/>
      <c r="R31" s="51"/>
      <c r="S31" s="51"/>
      <c r="T31" s="51"/>
      <c r="U31" s="51"/>
      <c r="V31" s="51"/>
      <c r="W31" s="51"/>
      <c r="X31" s="51"/>
      <c r="Y31" s="51"/>
      <c r="Z31" s="45"/>
      <c r="AA31" s="201">
        <f>CHOOSE(_xlfn.IFNA(MATCH(Requests[[#This Row],[Reallocation Type]],{"Reallocation","Request"},0),2),-1,1)*ABS(Requests[[#This Row],[Amount]])</f>
        <v>0</v>
      </c>
      <c r="AB31" s="221" t="str">
        <f>IF(Requests[[#This Row],[Reallocation Type]]="Reallocation",SUMIFS(Surplus[Surplus],Surplus[TPBE],Requests[[#This Row],[TPBE]],Surplus[Functional Centre],Requests[[#This Row],[FC]]),"")</f>
        <v/>
      </c>
      <c r="AC31" s="200" t="str">
        <f>_xlfn.IFNA(INDEX(TPBE[Group],MATCH(Requests[[#This Row],[TPBE]],TPBE[TPBE],0)),"")</f>
        <v/>
      </c>
      <c r="AD31" s="200">
        <f>SUMIFS(TPBE[FC Surplus Amount],TPBE[Group],Requests[[#This Row],[Sector]])</f>
        <v>0</v>
      </c>
      <c r="AE31" s="200">
        <f>-SUMIFS(Requests[Adj. Amount],Requests[Sector],Requests[[#This Row],[Sector]],Requests[Adj. Amount],"&lt;0")</f>
        <v>0</v>
      </c>
      <c r="AF31" s="200">
        <f>SUMIFS(Requests[Adj. Amount],Requests[Adj. Amount],"&gt;0",Requests[Sector],Requests[[#This Row],[Sector]])</f>
        <v>0</v>
      </c>
      <c r="AG31" s="200" t="b">
        <f>SUMIFS(Requests[Adj. Amount],Requests[Adj. Amount],"&gt;0",Requests[Sector],Requests[[#This Row],[Sector]],Requests[Sector],"&lt;&gt;")&lt;=SUMIFS(Surplus[Surplus],Surplus[Sector],Requests[[#This Row],[Sector]])</f>
        <v>1</v>
      </c>
      <c r="AH31" s="200">
        <f t="shared" si="0"/>
        <v>2</v>
      </c>
      <c r="AI31" s="200" t="b">
        <f>COUNTBLANK(Requests[[#This Row],[Reallocation Type]:[Amount]])&lt;=1</f>
        <v>0</v>
      </c>
    </row>
    <row r="32" spans="2:35" ht="30" customHeight="1" x14ac:dyDescent="0.35">
      <c r="G32" s="313"/>
      <c r="H32" s="136"/>
      <c r="I32" s="136"/>
      <c r="J32" s="136"/>
      <c r="K32" s="136"/>
      <c r="L32" s="137"/>
      <c r="M32" s="229" t="str">
        <f>IF(LEN(Requests[[#This Row],[Amount]])&gt;=1,IF(LEN(Requests[[#This Row],[TPBE]])=0,"Amount entered without TPBE",IF(LEN(Requests[[#This Row],[FC]])=0,"Amount entered without a corresponding functional centre",IF(AND(Requests[[#This Row],[Reallocation Type]]="Reallocation",SUM(Requests[[#This Row],[Adj. Amount]],Requests[[#This Row],[Column3]])&lt;0),"Not enough surplus in TPBE for selected reallocation",IF(AND(Requests[[#This Row],[Reallocation Type]]="Request",Requests[[#This Row],[Amount]]&gt;Requests[[#This Row],[Column2]]),"Not enough surplus available to support request","Good")))),"")</f>
        <v/>
      </c>
      <c r="N32" s="50"/>
      <c r="O32" s="51"/>
      <c r="P32" s="51"/>
      <c r="Q32" s="51"/>
      <c r="R32" s="51"/>
      <c r="S32" s="51"/>
      <c r="T32" s="51"/>
      <c r="U32" s="51"/>
      <c r="V32" s="51"/>
      <c r="W32" s="51"/>
      <c r="X32" s="51"/>
      <c r="Y32" s="51"/>
      <c r="Z32" s="45"/>
      <c r="AA32" s="201">
        <f>CHOOSE(_xlfn.IFNA(MATCH(Requests[[#This Row],[Reallocation Type]],{"Reallocation","Request"},0),2),-1,1)*ABS(Requests[[#This Row],[Amount]])</f>
        <v>0</v>
      </c>
      <c r="AB32" s="221" t="str">
        <f>IF(Requests[[#This Row],[Reallocation Type]]="Reallocation",SUMIFS(Surplus[Surplus],Surplus[TPBE],Requests[[#This Row],[TPBE]],Surplus[Functional Centre],Requests[[#This Row],[FC]]),"")</f>
        <v/>
      </c>
      <c r="AC32" s="200" t="str">
        <f>_xlfn.IFNA(INDEX(TPBE[Group],MATCH(Requests[[#This Row],[TPBE]],TPBE[TPBE],0)),"")</f>
        <v/>
      </c>
      <c r="AD32" s="200">
        <f>SUMIFS(TPBE[FC Surplus Amount],TPBE[Group],Requests[[#This Row],[Sector]])</f>
        <v>0</v>
      </c>
      <c r="AE32" s="200">
        <f>-SUMIFS(Requests[Adj. Amount],Requests[Sector],Requests[[#This Row],[Sector]],Requests[Adj. Amount],"&lt;0")</f>
        <v>0</v>
      </c>
      <c r="AF32" s="200">
        <f>SUMIFS(Requests[Adj. Amount],Requests[Adj. Amount],"&gt;0",Requests[Sector],Requests[[#This Row],[Sector]])</f>
        <v>0</v>
      </c>
      <c r="AG32" s="200" t="b">
        <f>SUMIFS(Requests[Adj. Amount],Requests[Adj. Amount],"&gt;0",Requests[Sector],Requests[[#This Row],[Sector]],Requests[Sector],"&lt;&gt;")&lt;=SUMIFS(Surplus[Surplus],Surplus[Sector],Requests[[#This Row],[Sector]])</f>
        <v>1</v>
      </c>
      <c r="AH32" s="200">
        <f t="shared" si="0"/>
        <v>2</v>
      </c>
      <c r="AI32" s="200" t="b">
        <f>COUNTBLANK(Requests[[#This Row],[Reallocation Type]:[Amount]])&lt;=1</f>
        <v>0</v>
      </c>
    </row>
    <row r="33" spans="7:35" ht="30" customHeight="1" x14ac:dyDescent="0.35">
      <c r="G33" s="313"/>
      <c r="H33" s="136"/>
      <c r="I33" s="136"/>
      <c r="J33" s="136"/>
      <c r="K33" s="136"/>
      <c r="L33" s="137"/>
      <c r="M33" s="229" t="str">
        <f>IF(LEN(Requests[[#This Row],[Amount]])&gt;=1,IF(LEN(Requests[[#This Row],[TPBE]])=0,"Amount entered without TPBE",IF(LEN(Requests[[#This Row],[FC]])=0,"Amount entered without a corresponding functional centre",IF(AND(Requests[[#This Row],[Reallocation Type]]="Reallocation",SUM(Requests[[#This Row],[Adj. Amount]],Requests[[#This Row],[Column3]])&lt;0),"Not enough surplus in TPBE for selected reallocation",IF(AND(Requests[[#This Row],[Reallocation Type]]="Request",Requests[[#This Row],[Amount]]&gt;Requests[[#This Row],[Column2]]),"Not enough surplus available to support request","Good")))),"")</f>
        <v/>
      </c>
      <c r="N33" s="50"/>
      <c r="O33" s="51"/>
      <c r="P33" s="51"/>
      <c r="Q33" s="51"/>
      <c r="R33" s="51"/>
      <c r="S33" s="51"/>
      <c r="T33" s="51"/>
      <c r="U33" s="51"/>
      <c r="V33" s="51"/>
      <c r="W33" s="51"/>
      <c r="X33" s="51"/>
      <c r="Y33" s="51"/>
      <c r="Z33" s="45"/>
      <c r="AA33" s="201">
        <f>CHOOSE(_xlfn.IFNA(MATCH(Requests[[#This Row],[Reallocation Type]],{"Reallocation","Request"},0),2),-1,1)*ABS(Requests[[#This Row],[Amount]])</f>
        <v>0</v>
      </c>
      <c r="AB33" s="221" t="str">
        <f>IF(Requests[[#This Row],[Reallocation Type]]="Reallocation",SUMIFS(Surplus[Surplus],Surplus[TPBE],Requests[[#This Row],[TPBE]],Surplus[Functional Centre],Requests[[#This Row],[FC]]),"")</f>
        <v/>
      </c>
      <c r="AC33" s="200" t="str">
        <f>_xlfn.IFNA(INDEX(TPBE[Group],MATCH(Requests[[#This Row],[TPBE]],TPBE[TPBE],0)),"")</f>
        <v/>
      </c>
      <c r="AD33" s="200">
        <f>SUMIFS(TPBE[FC Surplus Amount],TPBE[Group],Requests[[#This Row],[Sector]])</f>
        <v>0</v>
      </c>
      <c r="AE33" s="200">
        <f>-SUMIFS(Requests[Adj. Amount],Requests[Sector],Requests[[#This Row],[Sector]],Requests[Adj. Amount],"&lt;0")</f>
        <v>0</v>
      </c>
      <c r="AF33" s="200">
        <f>SUMIFS(Requests[Adj. Amount],Requests[Adj. Amount],"&gt;0",Requests[Sector],Requests[[#This Row],[Sector]])</f>
        <v>0</v>
      </c>
      <c r="AG33" s="200" t="b">
        <f>SUMIFS(Requests[Adj. Amount],Requests[Adj. Amount],"&gt;0",Requests[Sector],Requests[[#This Row],[Sector]],Requests[Sector],"&lt;&gt;")&lt;=SUMIFS(Surplus[Surplus],Surplus[Sector],Requests[[#This Row],[Sector]])</f>
        <v>1</v>
      </c>
      <c r="AH33" s="200">
        <f t="shared" si="0"/>
        <v>2</v>
      </c>
      <c r="AI33" s="200" t="b">
        <f>COUNTBLANK(Requests[[#This Row],[Reallocation Type]:[Amount]])&lt;=1</f>
        <v>0</v>
      </c>
    </row>
    <row r="34" spans="7:35" ht="30" customHeight="1" x14ac:dyDescent="0.35">
      <c r="G34" s="313"/>
      <c r="H34" s="136"/>
      <c r="I34" s="136"/>
      <c r="J34" s="136"/>
      <c r="K34" s="136"/>
      <c r="L34" s="137"/>
      <c r="M34" s="229" t="str">
        <f>IF(LEN(Requests[[#This Row],[Amount]])&gt;=1,IF(LEN(Requests[[#This Row],[TPBE]])=0,"Amount entered without TPBE",IF(LEN(Requests[[#This Row],[FC]])=0,"Amount entered without a corresponding functional centre",IF(AND(Requests[[#This Row],[Reallocation Type]]="Reallocation",SUM(Requests[[#This Row],[Adj. Amount]],Requests[[#This Row],[Column3]])&lt;0),"Not enough surplus in TPBE for selected reallocation",IF(AND(Requests[[#This Row],[Reallocation Type]]="Request",Requests[[#This Row],[Amount]]&gt;Requests[[#This Row],[Column2]]),"Not enough surplus available to support request","Good")))),"")</f>
        <v/>
      </c>
      <c r="N34" s="50"/>
      <c r="O34" s="51"/>
      <c r="P34" s="51"/>
      <c r="Q34" s="51"/>
      <c r="R34" s="51"/>
      <c r="S34" s="51"/>
      <c r="T34" s="51"/>
      <c r="U34" s="51"/>
      <c r="V34" s="51"/>
      <c r="W34" s="51"/>
      <c r="X34" s="51"/>
      <c r="Y34" s="51"/>
      <c r="Z34" s="45"/>
      <c r="AA34" s="201">
        <f>CHOOSE(_xlfn.IFNA(MATCH(Requests[[#This Row],[Reallocation Type]],{"Reallocation","Request"},0),2),-1,1)*ABS(Requests[[#This Row],[Amount]])</f>
        <v>0</v>
      </c>
      <c r="AB34" s="221" t="str">
        <f>IF(Requests[[#This Row],[Reallocation Type]]="Reallocation",SUMIFS(Surplus[Surplus],Surplus[TPBE],Requests[[#This Row],[TPBE]],Surplus[Functional Centre],Requests[[#This Row],[FC]]),"")</f>
        <v/>
      </c>
      <c r="AC34" s="200" t="str">
        <f>_xlfn.IFNA(INDEX(TPBE[Group],MATCH(Requests[[#This Row],[TPBE]],TPBE[TPBE],0)),"")</f>
        <v/>
      </c>
      <c r="AD34" s="200">
        <f>SUMIFS(TPBE[FC Surplus Amount],TPBE[Group],Requests[[#This Row],[Sector]])</f>
        <v>0</v>
      </c>
      <c r="AE34" s="200">
        <f>-SUMIFS(Requests[Adj. Amount],Requests[Sector],Requests[[#This Row],[Sector]],Requests[Adj. Amount],"&lt;0")</f>
        <v>0</v>
      </c>
      <c r="AF34" s="200">
        <f>SUMIFS(Requests[Adj. Amount],Requests[Adj. Amount],"&gt;0",Requests[Sector],Requests[[#This Row],[Sector]])</f>
        <v>0</v>
      </c>
      <c r="AG34" s="200" t="b">
        <f>SUMIFS(Requests[Adj. Amount],Requests[Adj. Amount],"&gt;0",Requests[Sector],Requests[[#This Row],[Sector]],Requests[Sector],"&lt;&gt;")&lt;=SUMIFS(Surplus[Surplus],Surplus[Sector],Requests[[#This Row],[Sector]])</f>
        <v>1</v>
      </c>
      <c r="AH34" s="200">
        <f t="shared" si="0"/>
        <v>2</v>
      </c>
      <c r="AI34" s="200" t="b">
        <f>COUNTBLANK(Requests[[#This Row],[Reallocation Type]:[Amount]])&lt;=1</f>
        <v>0</v>
      </c>
    </row>
    <row r="35" spans="7:35" ht="30" customHeight="1" x14ac:dyDescent="0.35">
      <c r="G35" s="313"/>
      <c r="H35" s="136"/>
      <c r="I35" s="136"/>
      <c r="J35" s="136"/>
      <c r="K35" s="136"/>
      <c r="L35" s="137"/>
      <c r="M35" s="229" t="str">
        <f>IF(LEN(Requests[[#This Row],[Amount]])&gt;=1,IF(LEN(Requests[[#This Row],[TPBE]])=0,"Amount entered without TPBE",IF(LEN(Requests[[#This Row],[FC]])=0,"Amount entered without a corresponding functional centre",IF(AND(Requests[[#This Row],[Reallocation Type]]="Reallocation",SUM(Requests[[#This Row],[Adj. Amount]],Requests[[#This Row],[Column3]])&lt;0),"Not enough surplus in TPBE for selected reallocation",IF(AND(Requests[[#This Row],[Reallocation Type]]="Request",Requests[[#This Row],[Amount]]&gt;Requests[[#This Row],[Column2]]),"Not enough surplus available to support request","Good")))),"")</f>
        <v/>
      </c>
      <c r="N35" s="50"/>
      <c r="O35" s="51"/>
      <c r="P35" s="51"/>
      <c r="Q35" s="51"/>
      <c r="R35" s="51"/>
      <c r="S35" s="51"/>
      <c r="T35" s="51"/>
      <c r="U35" s="51"/>
      <c r="V35" s="51"/>
      <c r="W35" s="51"/>
      <c r="X35" s="51"/>
      <c r="Y35" s="51"/>
      <c r="Z35" s="45"/>
      <c r="AA35" s="201">
        <f>CHOOSE(_xlfn.IFNA(MATCH(Requests[[#This Row],[Reallocation Type]],{"Reallocation","Request"},0),2),-1,1)*ABS(Requests[[#This Row],[Amount]])</f>
        <v>0</v>
      </c>
      <c r="AB35" s="221" t="str">
        <f>IF(Requests[[#This Row],[Reallocation Type]]="Reallocation",SUMIFS(Surplus[Surplus],Surplus[TPBE],Requests[[#This Row],[TPBE]],Surplus[Functional Centre],Requests[[#This Row],[FC]]),"")</f>
        <v/>
      </c>
      <c r="AC35" s="200" t="str">
        <f>_xlfn.IFNA(INDEX(TPBE[Group],MATCH(Requests[[#This Row],[TPBE]],TPBE[TPBE],0)),"")</f>
        <v/>
      </c>
      <c r="AD35" s="200">
        <f>SUMIFS(TPBE[FC Surplus Amount],TPBE[Group],Requests[[#This Row],[Sector]])</f>
        <v>0</v>
      </c>
      <c r="AE35" s="200">
        <f>-SUMIFS(Requests[Adj. Amount],Requests[Sector],Requests[[#This Row],[Sector]],Requests[Adj. Amount],"&lt;0")</f>
        <v>0</v>
      </c>
      <c r="AF35" s="200">
        <f>SUMIFS(Requests[Adj. Amount],Requests[Adj. Amount],"&gt;0",Requests[Sector],Requests[[#This Row],[Sector]])</f>
        <v>0</v>
      </c>
      <c r="AG35" s="200" t="b">
        <f>SUMIFS(Requests[Adj. Amount],Requests[Adj. Amount],"&gt;0",Requests[Sector],Requests[[#This Row],[Sector]],Requests[Sector],"&lt;&gt;")&lt;=SUMIFS(Surplus[Surplus],Surplus[Sector],Requests[[#This Row],[Sector]])</f>
        <v>1</v>
      </c>
      <c r="AH35" s="200">
        <f t="shared" si="0"/>
        <v>2</v>
      </c>
      <c r="AI35" s="200" t="b">
        <f>COUNTBLANK(Requests[[#This Row],[Reallocation Type]:[Amount]])&lt;=1</f>
        <v>0</v>
      </c>
    </row>
    <row r="36" spans="7:35" ht="30" customHeight="1" x14ac:dyDescent="0.35">
      <c r="G36" s="313"/>
      <c r="H36" s="136"/>
      <c r="I36" s="136"/>
      <c r="J36" s="136"/>
      <c r="K36" s="136"/>
      <c r="L36" s="137"/>
      <c r="M36" s="229" t="str">
        <f>IF(LEN(Requests[[#This Row],[Amount]])&gt;=1,IF(LEN(Requests[[#This Row],[TPBE]])=0,"Amount entered without TPBE",IF(LEN(Requests[[#This Row],[FC]])=0,"Amount entered without a corresponding functional centre",IF(AND(Requests[[#This Row],[Reallocation Type]]="Reallocation",SUM(Requests[[#This Row],[Adj. Amount]],Requests[[#This Row],[Column3]])&lt;0),"Not enough surplus in TPBE for selected reallocation",IF(AND(Requests[[#This Row],[Reallocation Type]]="Request",Requests[[#This Row],[Amount]]&gt;Requests[[#This Row],[Column2]]),"Not enough surplus available to support request","Good")))),"")</f>
        <v/>
      </c>
      <c r="N36" s="50"/>
      <c r="O36" s="51"/>
      <c r="P36" s="51"/>
      <c r="Q36" s="51"/>
      <c r="R36" s="51"/>
      <c r="S36" s="51"/>
      <c r="T36" s="51"/>
      <c r="U36" s="51"/>
      <c r="V36" s="51"/>
      <c r="W36" s="51"/>
      <c r="X36" s="51"/>
      <c r="Y36" s="51"/>
      <c r="Z36" s="45"/>
      <c r="AA36" s="201">
        <f>CHOOSE(_xlfn.IFNA(MATCH(Requests[[#This Row],[Reallocation Type]],{"Reallocation","Request"},0),2),-1,1)*ABS(Requests[[#This Row],[Amount]])</f>
        <v>0</v>
      </c>
      <c r="AB36" s="221" t="str">
        <f>IF(Requests[[#This Row],[Reallocation Type]]="Reallocation",SUMIFS(Surplus[Surplus],Surplus[TPBE],Requests[[#This Row],[TPBE]],Surplus[Functional Centre],Requests[[#This Row],[FC]]),"")</f>
        <v/>
      </c>
      <c r="AC36" s="200" t="str">
        <f>_xlfn.IFNA(INDEX(TPBE[Group],MATCH(Requests[[#This Row],[TPBE]],TPBE[TPBE],0)),"")</f>
        <v/>
      </c>
      <c r="AD36" s="200">
        <f>SUMIFS(TPBE[FC Surplus Amount],TPBE[Group],Requests[[#This Row],[Sector]])</f>
        <v>0</v>
      </c>
      <c r="AE36" s="200">
        <f>-SUMIFS(Requests[Adj. Amount],Requests[Sector],Requests[[#This Row],[Sector]],Requests[Adj. Amount],"&lt;0")</f>
        <v>0</v>
      </c>
      <c r="AF36" s="200">
        <f>SUMIFS(Requests[Adj. Amount],Requests[Adj. Amount],"&gt;0",Requests[Sector],Requests[[#This Row],[Sector]])</f>
        <v>0</v>
      </c>
      <c r="AG36" s="200" t="b">
        <f>SUMIFS(Requests[Adj. Amount],Requests[Adj. Amount],"&gt;0",Requests[Sector],Requests[[#This Row],[Sector]],Requests[Sector],"&lt;&gt;")&lt;=SUMIFS(Surplus[Surplus],Surplus[Sector],Requests[[#This Row],[Sector]])</f>
        <v>1</v>
      </c>
      <c r="AH36" s="200">
        <f t="shared" si="0"/>
        <v>2</v>
      </c>
      <c r="AI36" s="200" t="b">
        <f>COUNTBLANK(Requests[[#This Row],[Reallocation Type]:[Amount]])&lt;=1</f>
        <v>0</v>
      </c>
    </row>
    <row r="37" spans="7:35" ht="30" customHeight="1" x14ac:dyDescent="0.35">
      <c r="G37" s="313"/>
      <c r="H37" s="136"/>
      <c r="I37" s="136"/>
      <c r="J37" s="136"/>
      <c r="K37" s="136"/>
      <c r="L37" s="137"/>
      <c r="M37" s="229" t="str">
        <f>IF(LEN(Requests[[#This Row],[Amount]])&gt;=1,IF(LEN(Requests[[#This Row],[TPBE]])=0,"Amount entered without TPBE",IF(LEN(Requests[[#This Row],[FC]])=0,"Amount entered without a corresponding functional centre",IF(AND(Requests[[#This Row],[Reallocation Type]]="Reallocation",SUM(Requests[[#This Row],[Adj. Amount]],Requests[[#This Row],[Column3]])&lt;0),"Not enough surplus in TPBE for selected reallocation",IF(AND(Requests[[#This Row],[Reallocation Type]]="Request",Requests[[#This Row],[Amount]]&gt;Requests[[#This Row],[Column2]]),"Not enough surplus available to support request","Good")))),"")</f>
        <v/>
      </c>
      <c r="N37" s="50"/>
      <c r="O37" s="51"/>
      <c r="P37" s="51"/>
      <c r="Q37" s="51"/>
      <c r="R37" s="51"/>
      <c r="S37" s="51"/>
      <c r="T37" s="51"/>
      <c r="U37" s="51"/>
      <c r="V37" s="51"/>
      <c r="W37" s="51"/>
      <c r="X37" s="51"/>
      <c r="Y37" s="51"/>
      <c r="Z37" s="45"/>
      <c r="AA37" s="201">
        <f>CHOOSE(_xlfn.IFNA(MATCH(Requests[[#This Row],[Reallocation Type]],{"Reallocation","Request"},0),2),-1,1)*ABS(Requests[[#This Row],[Amount]])</f>
        <v>0</v>
      </c>
      <c r="AB37" s="221" t="str">
        <f>IF(Requests[[#This Row],[Reallocation Type]]="Reallocation",SUMIFS(Surplus[Surplus],Surplus[TPBE],Requests[[#This Row],[TPBE]],Surplus[Functional Centre],Requests[[#This Row],[FC]]),"")</f>
        <v/>
      </c>
      <c r="AC37" s="200" t="str">
        <f>_xlfn.IFNA(INDEX(TPBE[Group],MATCH(Requests[[#This Row],[TPBE]],TPBE[TPBE],0)),"")</f>
        <v/>
      </c>
      <c r="AD37" s="200">
        <f>SUMIFS(TPBE[FC Surplus Amount],TPBE[Group],Requests[[#This Row],[Sector]])</f>
        <v>0</v>
      </c>
      <c r="AE37" s="200">
        <f>-SUMIFS(Requests[Adj. Amount],Requests[Sector],Requests[[#This Row],[Sector]],Requests[Adj. Amount],"&lt;0")</f>
        <v>0</v>
      </c>
      <c r="AF37" s="200">
        <f>SUMIFS(Requests[Adj. Amount],Requests[Adj. Amount],"&gt;0",Requests[Sector],Requests[[#This Row],[Sector]])</f>
        <v>0</v>
      </c>
      <c r="AG37" s="200" t="b">
        <f>SUMIFS(Requests[Adj. Amount],Requests[Adj. Amount],"&gt;0",Requests[Sector],Requests[[#This Row],[Sector]],Requests[Sector],"&lt;&gt;")&lt;=SUMIFS(Surplus[Surplus],Surplus[Sector],Requests[[#This Row],[Sector]])</f>
        <v>1</v>
      </c>
      <c r="AH37" s="200">
        <f t="shared" si="0"/>
        <v>2</v>
      </c>
      <c r="AI37" s="200" t="b">
        <f>COUNTBLANK(Requests[[#This Row],[Reallocation Type]:[Amount]])&lt;=1</f>
        <v>0</v>
      </c>
    </row>
    <row r="38" spans="7:35" ht="30" customHeight="1" x14ac:dyDescent="0.35">
      <c r="G38" s="313"/>
      <c r="H38" s="136"/>
      <c r="I38" s="136"/>
      <c r="J38" s="136"/>
      <c r="K38" s="136"/>
      <c r="L38" s="137"/>
      <c r="M38" s="229" t="str">
        <f>IF(LEN(Requests[[#This Row],[Amount]])&gt;=1,IF(LEN(Requests[[#This Row],[TPBE]])=0,"Amount entered without TPBE",IF(LEN(Requests[[#This Row],[FC]])=0,"Amount entered without a corresponding functional centre",IF(AND(Requests[[#This Row],[Reallocation Type]]="Reallocation",SUM(Requests[[#This Row],[Adj. Amount]],Requests[[#This Row],[Column3]])&lt;0),"Not enough surplus in TPBE for selected reallocation",IF(AND(Requests[[#This Row],[Reallocation Type]]="Request",Requests[[#This Row],[Amount]]&gt;Requests[[#This Row],[Column2]]),"Not enough surplus available to support request","Good")))),"")</f>
        <v/>
      </c>
      <c r="N38" s="50"/>
      <c r="O38" s="51"/>
      <c r="P38" s="51"/>
      <c r="Q38" s="51"/>
      <c r="R38" s="51"/>
      <c r="S38" s="51"/>
      <c r="T38" s="51"/>
      <c r="U38" s="51"/>
      <c r="V38" s="51"/>
      <c r="W38" s="51"/>
      <c r="X38" s="51"/>
      <c r="Y38" s="51"/>
      <c r="Z38" s="45"/>
      <c r="AA38" s="201">
        <f>CHOOSE(_xlfn.IFNA(MATCH(Requests[[#This Row],[Reallocation Type]],{"Reallocation","Request"},0),2),-1,1)*ABS(Requests[[#This Row],[Amount]])</f>
        <v>0</v>
      </c>
      <c r="AB38" s="221" t="str">
        <f>IF(Requests[[#This Row],[Reallocation Type]]="Reallocation",SUMIFS(Surplus[Surplus],Surplus[TPBE],Requests[[#This Row],[TPBE]],Surplus[Functional Centre],Requests[[#This Row],[FC]]),"")</f>
        <v/>
      </c>
      <c r="AC38" s="200" t="str">
        <f>_xlfn.IFNA(INDEX(TPBE[Group],MATCH(Requests[[#This Row],[TPBE]],TPBE[TPBE],0)),"")</f>
        <v/>
      </c>
      <c r="AD38" s="200">
        <f>SUMIFS(TPBE[FC Surplus Amount],TPBE[Group],Requests[[#This Row],[Sector]])</f>
        <v>0</v>
      </c>
      <c r="AE38" s="200">
        <f>-SUMIFS(Requests[Adj. Amount],Requests[Sector],Requests[[#This Row],[Sector]],Requests[Adj. Amount],"&lt;0")</f>
        <v>0</v>
      </c>
      <c r="AF38" s="200">
        <f>SUMIFS(Requests[Adj. Amount],Requests[Adj. Amount],"&gt;0",Requests[Sector],Requests[[#This Row],[Sector]])</f>
        <v>0</v>
      </c>
      <c r="AG38" s="200" t="b">
        <f>SUMIFS(Requests[Adj. Amount],Requests[Adj. Amount],"&gt;0",Requests[Sector],Requests[[#This Row],[Sector]],Requests[Sector],"&lt;&gt;")&lt;=SUMIFS(Surplus[Surplus],Surplus[Sector],Requests[[#This Row],[Sector]])</f>
        <v>1</v>
      </c>
      <c r="AH38" s="200">
        <f t="shared" si="0"/>
        <v>2</v>
      </c>
      <c r="AI38" s="200" t="b">
        <f>COUNTBLANK(Requests[[#This Row],[Reallocation Type]:[Amount]])&lt;=1</f>
        <v>0</v>
      </c>
    </row>
    <row r="39" spans="7:35" ht="30" customHeight="1" thickBot="1" x14ac:dyDescent="0.4">
      <c r="G39" s="314"/>
      <c r="H39" s="138"/>
      <c r="I39" s="138"/>
      <c r="J39" s="138"/>
      <c r="K39" s="138"/>
      <c r="L39" s="139"/>
      <c r="M39" s="230" t="str">
        <f>IF(LEN(Requests[[#This Row],[Amount]])&gt;=1,IF(LEN(Requests[[#This Row],[TPBE]])=0,"Amount entered without TPBE",IF(LEN(Requests[[#This Row],[FC]])=0,"Amount entered without a corresponding functional centre",IF(AND(Requests[[#This Row],[Reallocation Type]]="Reallocation",SUM(Requests[[#This Row],[Adj. Amount]],Requests[[#This Row],[Column3]])&lt;0),"Not enough surplus in TPBE for selected reallocation",IF(AND(Requests[[#This Row],[Reallocation Type]]="Request",Requests[[#This Row],[Amount]]&gt;Requests[[#This Row],[Column2]]),"Not enough surplus available to support request","Good")))),"")</f>
        <v/>
      </c>
      <c r="N39" s="65"/>
      <c r="O39" s="56"/>
      <c r="P39" s="56"/>
      <c r="Q39" s="56"/>
      <c r="R39" s="56"/>
      <c r="S39" s="56"/>
      <c r="T39" s="56"/>
      <c r="U39" s="56"/>
      <c r="V39" s="56"/>
      <c r="W39" s="56"/>
      <c r="X39" s="56"/>
      <c r="Y39" s="56"/>
      <c r="Z39" s="46"/>
      <c r="AA39" s="202">
        <f>CHOOSE(_xlfn.IFNA(MATCH(Requests[[#This Row],[Reallocation Type]],{"Reallocation","Request"},0),2),-1,1)*ABS(Requests[[#This Row],[Amount]])</f>
        <v>0</v>
      </c>
      <c r="AB39" s="222" t="str">
        <f>IF(Requests[[#This Row],[Reallocation Type]]="Reallocation",SUMIFS(Surplus[Surplus],Surplus[TPBE],Requests[[#This Row],[TPBE]],Surplus[Functional Centre],Requests[[#This Row],[FC]]),"")</f>
        <v/>
      </c>
      <c r="AC39" s="203" t="str">
        <f>_xlfn.IFNA(INDEX(TPBE[Group],MATCH(Requests[[#This Row],[TPBE]],TPBE[TPBE],0)),"")</f>
        <v/>
      </c>
      <c r="AD39" s="203">
        <f>SUMIFS(TPBE[FC Surplus Amount],TPBE[Group],Requests[[#This Row],[Sector]])</f>
        <v>0</v>
      </c>
      <c r="AE39" s="203">
        <f>-SUMIFS(Requests[Adj. Amount],Requests[Sector],Requests[[#This Row],[Sector]],Requests[Adj. Amount],"&lt;0")</f>
        <v>0</v>
      </c>
      <c r="AF39" s="203">
        <f>SUMIFS(Requests[Adj. Amount],Requests[Adj. Amount],"&gt;0",Requests[Sector],Requests[[#This Row],[Sector]])</f>
        <v>0</v>
      </c>
      <c r="AG39" s="203" t="b">
        <f>SUMIFS(Requests[Adj. Amount],Requests[Adj. Amount],"&gt;0",Requests[Sector],Requests[[#This Row],[Sector]],Requests[Sector],"&lt;&gt;")&lt;=SUMIFS(Surplus[Surplus],Surplus[Sector],Requests[[#This Row],[Sector]])</f>
        <v>1</v>
      </c>
      <c r="AH39" s="203">
        <f t="shared" si="0"/>
        <v>2</v>
      </c>
      <c r="AI39" s="210" t="b">
        <f>COUNTBLANK(Requests[[#This Row],[Reallocation Type]:[Amount]])&lt;=1</f>
        <v>0</v>
      </c>
    </row>
    <row r="40" spans="7:35" ht="30" customHeight="1" thickBot="1" x14ac:dyDescent="0.4">
      <c r="G40" s="307"/>
      <c r="H40" s="307"/>
      <c r="I40" s="308"/>
      <c r="J40" s="309"/>
      <c r="K40" s="111" t="s">
        <v>164</v>
      </c>
      <c r="L40" s="310">
        <f>SUMIFS(Requests[Adj. Amount],Requests[Adj. Amount],"&gt;0")</f>
        <v>0</v>
      </c>
      <c r="M40" s="66"/>
      <c r="N40" s="67">
        <f>SUBTOTAL(109,Requests[FTE])</f>
        <v>0</v>
      </c>
      <c r="O40" s="68">
        <f>SUBTOTAL(109,Requests[[Visits ]])</f>
        <v>0</v>
      </c>
      <c r="P40" s="68">
        <f>SUBTOTAL(109,Requests[NUISRI])</f>
        <v>0</v>
      </c>
      <c r="Q40" s="68">
        <f>SUBTOTAL(109,Requests[HoC])</f>
        <v>0</v>
      </c>
      <c r="R40" s="68">
        <f>SUBTOTAL(109,Requests[Inpatient])</f>
        <v>0</v>
      </c>
      <c r="S40" s="68">
        <f>SUBTOTAL(109,Requests[IS])</f>
        <v>0</v>
      </c>
      <c r="T40" s="68">
        <f>SUBTOTAL(109,Requests[AD])</f>
        <v>0</v>
      </c>
      <c r="U40" s="68">
        <f>SUBTOTAL(109,Requests[GS])</f>
        <v>0</v>
      </c>
      <c r="V40" s="68">
        <f>SUBTOTAL(109,Requests[MD-C])</f>
        <v>0</v>
      </c>
      <c r="W40" s="68">
        <f>SUBTOTAL(109,Requests[CPA])</f>
        <v>0</v>
      </c>
      <c r="X40" s="68">
        <f>SUBTOTAL(109,Requests[SPI])</f>
        <v>0</v>
      </c>
      <c r="Y40" s="68">
        <f>SUBTOTAL(109,Requests[SPGI])</f>
        <v>0</v>
      </c>
      <c r="Z40" s="68">
        <f>SUBTOTAL(109,Requests[MHS])</f>
        <v>0</v>
      </c>
      <c r="AA40" s="66"/>
      <c r="AB40" s="66"/>
      <c r="AC40" s="157"/>
      <c r="AD40" s="157"/>
      <c r="AE40" s="157"/>
      <c r="AF40" s="157"/>
      <c r="AG40" s="157"/>
      <c r="AH40" s="157"/>
      <c r="AI40" s="157"/>
    </row>
    <row r="41" spans="7:35" ht="30" customHeight="1" thickBot="1" x14ac:dyDescent="0.4">
      <c r="G41" s="243"/>
      <c r="H41" s="243"/>
      <c r="I41" s="244"/>
      <c r="J41" s="244"/>
      <c r="K41" s="63" t="s">
        <v>165</v>
      </c>
      <c r="L41" s="64">
        <f>SUM(Requests[Adj. Amount])</f>
        <v>0</v>
      </c>
      <c r="M41" s="225"/>
    </row>
    <row r="42" spans="7:35" ht="30" customHeight="1" x14ac:dyDescent="0.35">
      <c r="H42" s="34" t="s">
        <v>1200</v>
      </c>
    </row>
    <row r="43" spans="7:35" ht="30" customHeight="1" x14ac:dyDescent="0.35">
      <c r="H43" s="57" t="s">
        <v>166</v>
      </c>
      <c r="I43" s="34"/>
      <c r="J43" s="34"/>
      <c r="K43" s="21"/>
    </row>
    <row r="44" spans="7:35" ht="30" customHeight="1" x14ac:dyDescent="0.35">
      <c r="I44" s="28"/>
      <c r="J44" s="28"/>
      <c r="K44" s="21"/>
    </row>
  </sheetData>
  <sheetProtection sheet="1" selectLockedCells="1"/>
  <mergeCells count="7">
    <mergeCell ref="G4:K4"/>
    <mergeCell ref="G5:K5"/>
    <mergeCell ref="B4:E5"/>
    <mergeCell ref="B11:E11"/>
    <mergeCell ref="G7:AA7"/>
    <mergeCell ref="N11:Z11"/>
    <mergeCell ref="G11:M11"/>
  </mergeCells>
  <phoneticPr fontId="24" type="noConversion"/>
  <conditionalFormatting sqref="B11">
    <cfRule type="expression" dxfId="55" priority="4">
      <formula>$D11&gt;$C11</formula>
    </cfRule>
  </conditionalFormatting>
  <conditionalFormatting sqref="B14:E24">
    <cfRule type="expression" dxfId="54" priority="6">
      <formula>$D14&gt;$C14</formula>
    </cfRule>
  </conditionalFormatting>
  <conditionalFormatting sqref="AA14:AI39 G14:M39">
    <cfRule type="expression" dxfId="53" priority="47">
      <formula>NOT($AG14)</formula>
    </cfRule>
  </conditionalFormatting>
  <conditionalFormatting sqref="G14:M39">
    <cfRule type="expression" dxfId="52" priority="3">
      <formula>AND($G14="Reallocation",SUM($AA14,$AB14)&lt;0)</formula>
    </cfRule>
    <cfRule type="expression" dxfId="51" priority="50">
      <formula>$AF14&gt;$AE14</formula>
    </cfRule>
    <cfRule type="expression" dxfId="50" priority="51">
      <formula>AND(ISEVEN($AH14),ISBLANK(G14))</formula>
    </cfRule>
    <cfRule type="expression" dxfId="49" priority="52">
      <formula>AND(ISODD($AH14),ISBLANK(G14))</formula>
    </cfRule>
  </conditionalFormatting>
  <conditionalFormatting sqref="L14:M40 AA14:AB40 G14:AB40">
    <cfRule type="cellIs" dxfId="48" priority="17" operator="lessThan">
      <formula>0</formula>
    </cfRule>
  </conditionalFormatting>
  <conditionalFormatting sqref="K41:M41">
    <cfRule type="expression" dxfId="47" priority="14">
      <formula>$L$41&lt;&gt;0</formula>
    </cfRule>
  </conditionalFormatting>
  <conditionalFormatting sqref="L14:M39">
    <cfRule type="expression" dxfId="46" priority="10">
      <formula>$G14="Reallocation"</formula>
    </cfRule>
  </conditionalFormatting>
  <conditionalFormatting sqref="L41:M41">
    <cfRule type="cellIs" dxfId="45" priority="15" operator="lessThan">
      <formula>0</formula>
    </cfRule>
  </conditionalFormatting>
  <conditionalFormatting sqref="M14:M39">
    <cfRule type="cellIs" dxfId="44" priority="2" operator="equal">
      <formula>"Good"</formula>
    </cfRule>
  </conditionalFormatting>
  <conditionalFormatting sqref="N14:Z39">
    <cfRule type="expression" dxfId="43" priority="29">
      <formula>AND(_xlfn.IFNA(INDEX(INDIRECT("OHRS_M"),MATCH($I14,INDIRECT("OHRS_FC"),0),MATCH(N$10,INDIRECT("OHRSM_Index"),0)),"")="M",LEN(N14)&lt;&gt;0)</formula>
    </cfRule>
    <cfRule type="expression" dxfId="42" priority="30">
      <formula>AND(_xlfn.IFNA(INDEX(INDIRECT("OHRS_M"),MATCH($I14,INDIRECT("OHRS_FC"),0),MATCH(N$10,INDIRECT("OHRSM_Index"),0)),"")="M",LEN(N14)=0)</formula>
    </cfRule>
    <cfRule type="expression" dxfId="41" priority="31">
      <formula>AND(_xlfn.IFNA(INDEX(INDIRECT("OHRS_M"),MATCH($I14,INDIRECT("OHRS_FC"),0),MATCH(N$10,INDIRECT("OHRSM_Index"),0)),"")&lt;&gt;"M",$AI14)</formula>
    </cfRule>
  </conditionalFormatting>
  <conditionalFormatting sqref="G14:K39">
    <cfRule type="expression" dxfId="40" priority="1">
      <formula>AND($L14&lt;&gt;"",G14="")</formula>
    </cfRule>
  </conditionalFormatting>
  <dataValidations xWindow="732" yWindow="605" count="4">
    <dataValidation type="list" allowBlank="1" showInputMessage="1" showErrorMessage="1" prompt="Select &quot;Reallocation&quot; to input the FC which funds are being transferred out of._x000a__x000a_Select &quot;Request&quot; to input the FC which funds are being transferred into." sqref="G14:G39" xr:uid="{00000000-0002-0000-0300-000001000000}">
      <formula1>"Reallocation,Request"</formula1>
    </dataValidation>
    <dataValidation type="decimal" allowBlank="1" showInputMessage="1" showErrorMessage="1" sqref="AA14:AA39 L14:L39" xr:uid="{00000000-0002-0000-0300-000000000000}">
      <formula1>-999999999999</formula1>
      <formula2>999999999999</formula2>
    </dataValidation>
    <dataValidation type="list" allowBlank="1" showInputMessage="1" showErrorMessage="1" sqref="H14:H39" xr:uid="{00000000-0002-0000-0300-000003000000}">
      <formula1>IF($G14="Request",DDFilter_Req,DDFilter_Realloc)</formula1>
    </dataValidation>
    <dataValidation type="list" allowBlank="1" showInputMessage="1" showErrorMessage="1" sqref="I14:I39" xr:uid="{24982014-A0D9-48C6-9239-7224F3E440F7}">
      <formula1>IF($G14="Reallocation",OFFSET(TPBE_FC_DD_Index,,SUM(MATCH(H14,Headers_TPBE_FC,0),-1),COUNTIFS(OFFSET(TPBE_FC_DD_Index,,SUM(MATCH(H14,Headers_TPBE_FC,0),-1)),"?*")),List_FC)</formula1>
    </dataValidation>
  </dataValidations>
  <pageMargins left="0.7" right="0.7" top="0.75" bottom="0.75" header="0.3" footer="0.3"/>
  <pageSetup orientation="portrait" horizontalDpi="1200" verticalDpi="1200"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27C4C-6633-4CC9-A2F4-E5BF2D218055}">
  <sheetPr>
    <tabColor rgb="FFFF0000"/>
  </sheetPr>
  <dimension ref="A1:AH69"/>
  <sheetViews>
    <sheetView showGridLines="0" topLeftCell="J1" zoomScale="70" zoomScaleNormal="70" workbookViewId="0">
      <pane xSplit="4" ySplit="15" topLeftCell="N16" activePane="bottomRight" state="frozen"/>
      <selection pane="topRight" activeCell="N1" sqref="N1"/>
      <selection pane="bottomLeft" activeCell="J16" sqref="J16"/>
      <selection pane="bottomRight" activeCell="R17" sqref="R17"/>
    </sheetView>
  </sheetViews>
  <sheetFormatPr defaultColWidth="0" defaultRowHeight="14.5" zeroHeight="1" outlineLevelRow="1" outlineLevelCol="1" x14ac:dyDescent="0.35"/>
  <cols>
    <col min="1" max="9" width="0" hidden="1" customWidth="1"/>
    <col min="10" max="10" width="1.453125" customWidth="1"/>
    <col min="11" max="11" width="4.7265625" bestFit="1" customWidth="1"/>
    <col min="12" max="12" width="18.54296875" customWidth="1" outlineLevel="1"/>
    <col min="13" max="13" width="45" customWidth="1" outlineLevel="1"/>
    <col min="14" max="16" width="17.26953125" customWidth="1"/>
    <col min="17" max="17" width="28.81640625" customWidth="1"/>
    <col min="18" max="30" width="12.54296875" customWidth="1"/>
    <col min="31" max="32" width="12.453125" hidden="1" customWidth="1" outlineLevel="1"/>
    <col min="33" max="33" width="9.1796875" hidden="1" customWidth="1" outlineLevel="1"/>
    <col min="34" max="34" width="9.1796875" customWidth="1" collapsed="1"/>
    <col min="35" max="16384" width="9.1796875" hidden="1"/>
  </cols>
  <sheetData>
    <row r="1" spans="10:33" x14ac:dyDescent="0.35"/>
    <row r="2" spans="10:33" ht="20" thickBot="1" x14ac:dyDescent="0.4">
      <c r="L2" s="85" t="s">
        <v>167</v>
      </c>
    </row>
    <row r="3" spans="10:33" ht="18" thickTop="1" thickBot="1" x14ac:dyDescent="0.4">
      <c r="L3" s="269" t="s">
        <v>168</v>
      </c>
      <c r="M3" s="269"/>
    </row>
    <row r="4" spans="10:33" ht="15" thickTop="1" x14ac:dyDescent="0.35">
      <c r="L4" s="288" t="s">
        <v>169</v>
      </c>
      <c r="M4" s="288"/>
      <c r="N4" s="288"/>
      <c r="O4" s="288"/>
      <c r="P4" s="288"/>
      <c r="Q4" s="288"/>
      <c r="R4" s="288"/>
      <c r="S4" s="288"/>
      <c r="T4" s="288"/>
      <c r="U4" s="288"/>
      <c r="V4" s="288"/>
      <c r="W4" s="288"/>
      <c r="X4" s="288"/>
      <c r="Y4" s="288"/>
      <c r="Z4" s="288"/>
      <c r="AA4" s="288"/>
      <c r="AB4" s="288"/>
      <c r="AC4" s="288"/>
      <c r="AD4" s="288"/>
    </row>
    <row r="5" spans="10:33" x14ac:dyDescent="0.35">
      <c r="L5" s="288"/>
      <c r="M5" s="288"/>
      <c r="N5" s="288"/>
      <c r="O5" s="288"/>
      <c r="P5" s="288"/>
      <c r="Q5" s="288"/>
      <c r="R5" s="288"/>
      <c r="S5" s="288"/>
      <c r="T5" s="288"/>
      <c r="U5" s="288"/>
      <c r="V5" s="288"/>
      <c r="W5" s="288"/>
      <c r="X5" s="288"/>
      <c r="Y5" s="288"/>
      <c r="Z5" s="288"/>
      <c r="AA5" s="288"/>
      <c r="AB5" s="288"/>
      <c r="AC5" s="288"/>
      <c r="AD5" s="288"/>
    </row>
    <row r="6" spans="10:33" ht="15" thickBot="1" x14ac:dyDescent="0.4">
      <c r="N6" s="152"/>
      <c r="O6" s="152"/>
      <c r="P6" s="152"/>
      <c r="Q6" s="152"/>
      <c r="R6" s="152"/>
      <c r="S6" s="152"/>
      <c r="T6" s="152"/>
      <c r="U6" s="152"/>
      <c r="V6" s="152"/>
      <c r="W6" s="152"/>
      <c r="X6" s="152"/>
      <c r="Y6" s="152"/>
      <c r="Z6" s="152"/>
      <c r="AA6" s="152"/>
      <c r="AB6" s="152"/>
      <c r="AC6" s="152"/>
      <c r="AD6" s="152"/>
      <c r="AE6" s="152"/>
      <c r="AF6" s="152"/>
    </row>
    <row r="7" spans="10:33" x14ac:dyDescent="0.35">
      <c r="K7" s="286" t="s">
        <v>170</v>
      </c>
      <c r="L7" s="270" t="s">
        <v>62</v>
      </c>
      <c r="M7" s="271"/>
      <c r="N7" s="271"/>
      <c r="O7" s="271"/>
      <c r="P7" s="271"/>
      <c r="Q7" s="271"/>
      <c r="R7" s="271"/>
      <c r="S7" s="271"/>
      <c r="T7" s="271"/>
      <c r="U7" s="271"/>
      <c r="V7" s="271"/>
      <c r="W7" s="271"/>
      <c r="X7" s="271"/>
      <c r="Y7" s="271"/>
      <c r="Z7" s="271"/>
      <c r="AA7" s="271"/>
      <c r="AB7" s="271"/>
      <c r="AC7" s="271"/>
      <c r="AD7" s="272"/>
    </row>
    <row r="8" spans="10:33" s="128" customFormat="1" ht="15" thickBot="1" x14ac:dyDescent="0.4">
      <c r="K8" s="287"/>
      <c r="L8" s="206" t="s">
        <v>90</v>
      </c>
      <c r="M8" s="179" t="s">
        <v>91</v>
      </c>
      <c r="N8" s="207">
        <v>100000</v>
      </c>
      <c r="O8" s="207">
        <v>50000</v>
      </c>
      <c r="P8" s="208">
        <v>-50000</v>
      </c>
      <c r="Q8" s="208" t="s">
        <v>93</v>
      </c>
      <c r="R8" s="178"/>
      <c r="S8" s="178"/>
      <c r="T8" s="179"/>
      <c r="U8" s="179"/>
      <c r="V8" s="179"/>
      <c r="W8" s="179">
        <v>-10</v>
      </c>
      <c r="X8" s="179"/>
      <c r="Y8" s="179"/>
      <c r="Z8" s="179">
        <v>-200</v>
      </c>
      <c r="AA8" s="179"/>
      <c r="AB8" s="179"/>
      <c r="AC8" s="179"/>
      <c r="AD8" s="180"/>
    </row>
    <row r="9" spans="10:33" ht="15" thickBot="1" x14ac:dyDescent="0.4">
      <c r="S9" s="153"/>
      <c r="U9" s="177"/>
    </row>
    <row r="10" spans="10:33" s="32" customFormat="1" ht="15" hidden="1" outlineLevel="1" thickBot="1" x14ac:dyDescent="0.4">
      <c r="R10" s="32">
        <v>1</v>
      </c>
      <c r="S10" s="204">
        <v>2</v>
      </c>
      <c r="T10" s="32">
        <v>3</v>
      </c>
      <c r="U10" s="32">
        <v>4</v>
      </c>
      <c r="V10" s="32">
        <v>5</v>
      </c>
      <c r="W10" s="32">
        <v>6</v>
      </c>
      <c r="X10" s="32">
        <v>7</v>
      </c>
      <c r="Y10" s="32">
        <v>8</v>
      </c>
      <c r="Z10" s="32">
        <v>9</v>
      </c>
      <c r="AA10" s="32">
        <v>11</v>
      </c>
      <c r="AB10" s="32">
        <v>12</v>
      </c>
      <c r="AC10" s="32">
        <v>13</v>
      </c>
      <c r="AD10" s="32">
        <v>14</v>
      </c>
    </row>
    <row r="11" spans="10:33" ht="21.65" customHeight="1" collapsed="1" thickBot="1" x14ac:dyDescent="0.4">
      <c r="L11" s="278" t="s">
        <v>171</v>
      </c>
      <c r="M11" s="279"/>
      <c r="N11" s="183">
        <f>SUM(Recoveries[Forecasted Surplus])</f>
        <v>0</v>
      </c>
      <c r="O11" s="184">
        <f>SUM(Recoveries[Surplus Requested])</f>
        <v>0</v>
      </c>
      <c r="P11" s="184">
        <f>SUM(Recoveries[Recovery Amount])</f>
        <v>0</v>
      </c>
      <c r="Q11" s="185"/>
      <c r="R11" s="276" t="s">
        <v>172</v>
      </c>
      <c r="S11" s="276"/>
      <c r="T11" s="276"/>
      <c r="U11" s="276"/>
      <c r="V11" s="276"/>
      <c r="W11" s="276"/>
      <c r="X11" s="276"/>
      <c r="Y11" s="276"/>
      <c r="Z11" s="276"/>
      <c r="AA11" s="276"/>
      <c r="AB11" s="276"/>
      <c r="AC11" s="276"/>
      <c r="AD11" s="277"/>
    </row>
    <row r="12" spans="10:33" ht="14.5" customHeight="1" x14ac:dyDescent="0.35">
      <c r="L12" s="292" t="s">
        <v>77</v>
      </c>
      <c r="M12" s="273" t="s">
        <v>73</v>
      </c>
      <c r="N12" s="273" t="s">
        <v>173</v>
      </c>
      <c r="O12" s="273" t="s">
        <v>174</v>
      </c>
      <c r="P12" s="289" t="s">
        <v>175</v>
      </c>
      <c r="Q12" s="283" t="s">
        <v>75</v>
      </c>
      <c r="R12" s="273" t="s">
        <v>110</v>
      </c>
      <c r="S12" s="273" t="s">
        <v>111</v>
      </c>
      <c r="T12" s="273" t="s">
        <v>112</v>
      </c>
      <c r="U12" s="273" t="s">
        <v>113</v>
      </c>
      <c r="V12" s="273" t="s">
        <v>176</v>
      </c>
      <c r="W12" s="273" t="s">
        <v>115</v>
      </c>
      <c r="X12" s="273" t="s">
        <v>116</v>
      </c>
      <c r="Y12" s="273" t="s">
        <v>117</v>
      </c>
      <c r="Z12" s="273" t="s">
        <v>118</v>
      </c>
      <c r="AA12" s="273" t="s">
        <v>119</v>
      </c>
      <c r="AB12" s="273" t="s">
        <v>120</v>
      </c>
      <c r="AC12" s="273" t="s">
        <v>121</v>
      </c>
      <c r="AD12" s="280" t="s">
        <v>122</v>
      </c>
    </row>
    <row r="13" spans="10:33" x14ac:dyDescent="0.35">
      <c r="L13" s="293"/>
      <c r="M13" s="274"/>
      <c r="N13" s="274"/>
      <c r="O13" s="274"/>
      <c r="P13" s="290"/>
      <c r="Q13" s="284"/>
      <c r="R13" s="274"/>
      <c r="S13" s="274"/>
      <c r="T13" s="274"/>
      <c r="U13" s="274"/>
      <c r="V13" s="274"/>
      <c r="W13" s="274"/>
      <c r="X13" s="274"/>
      <c r="Y13" s="274"/>
      <c r="Z13" s="274"/>
      <c r="AA13" s="274"/>
      <c r="AB13" s="274"/>
      <c r="AC13" s="274"/>
      <c r="AD13" s="281"/>
    </row>
    <row r="14" spans="10:33" ht="60.65" customHeight="1" thickBot="1" x14ac:dyDescent="0.4">
      <c r="L14" s="294"/>
      <c r="M14" s="275"/>
      <c r="N14" s="275"/>
      <c r="O14" s="275"/>
      <c r="P14" s="291"/>
      <c r="Q14" s="285"/>
      <c r="R14" s="275"/>
      <c r="S14" s="275"/>
      <c r="T14" s="275"/>
      <c r="U14" s="275"/>
      <c r="V14" s="275"/>
      <c r="W14" s="275"/>
      <c r="X14" s="275"/>
      <c r="Y14" s="275"/>
      <c r="Z14" s="275"/>
      <c r="AA14" s="275"/>
      <c r="AB14" s="275"/>
      <c r="AC14" s="275"/>
      <c r="AD14" s="282"/>
    </row>
    <row r="15" spans="10:33" ht="29" hidden="1" outlineLevel="1" x14ac:dyDescent="0.35">
      <c r="J15" s="47"/>
      <c r="K15" s="47"/>
      <c r="L15" s="89" t="s">
        <v>77</v>
      </c>
      <c r="M15" s="90" t="s">
        <v>134</v>
      </c>
      <c r="N15" s="91" t="s">
        <v>7</v>
      </c>
      <c r="O15" s="92" t="s">
        <v>177</v>
      </c>
      <c r="P15" s="58" t="s">
        <v>178</v>
      </c>
      <c r="Q15" s="80" t="s">
        <v>135</v>
      </c>
      <c r="R15" s="36" t="s">
        <v>138</v>
      </c>
      <c r="S15" s="36" t="s">
        <v>111</v>
      </c>
      <c r="T15" s="36" t="s">
        <v>139</v>
      </c>
      <c r="U15" s="36" t="s">
        <v>140</v>
      </c>
      <c r="V15" s="36" t="s">
        <v>141</v>
      </c>
      <c r="W15" s="36" t="s">
        <v>142</v>
      </c>
      <c r="X15" s="36" t="s">
        <v>143</v>
      </c>
      <c r="Y15" s="36" t="s">
        <v>144</v>
      </c>
      <c r="Z15" s="36" t="s">
        <v>145</v>
      </c>
      <c r="AA15" s="36" t="s">
        <v>146</v>
      </c>
      <c r="AB15" s="36" t="s">
        <v>147</v>
      </c>
      <c r="AC15" s="36" t="s">
        <v>148</v>
      </c>
      <c r="AD15" s="195" t="s">
        <v>149</v>
      </c>
      <c r="AE15" s="10" t="s">
        <v>179</v>
      </c>
      <c r="AF15" s="192" t="s">
        <v>46</v>
      </c>
      <c r="AG15" s="36" t="s">
        <v>130</v>
      </c>
    </row>
    <row r="16" spans="10:33" ht="30" customHeight="1" collapsed="1" x14ac:dyDescent="0.35">
      <c r="J16" s="61"/>
      <c r="K16" s="61"/>
      <c r="L16" s="168" t="str">
        <f>IF(LEN(Recoveries[[#This Row],[Lookup ID]])=0,"",INDEX(Recovery_Helper[TPBE],MATCH(Recoveries[[#This Row],[Lookup ID]],Recovery_Helper[Recovery Index],0)))</f>
        <v/>
      </c>
      <c r="M16" s="174" t="str">
        <f>IF(LEN(Recoveries[[#This Row],[Lookup ID]])=0,"",INDEX(Recovery_Helper[Functional Centre],MATCH(Recoveries[[#This Row],[Lookup ID]],Recovery_Helper[Recovery Index],0)))</f>
        <v/>
      </c>
      <c r="N16" s="59" t="str">
        <f>IF(Recoveries[[#This Row],[Lookup ID]]="","",SUMIFS(Recovery_Helper[Forecasted Surplus],Recovery_Helper[TPBE],Recoveries[[#This Row],[TPBE]],Recovery_Helper[Functional Centre],Recoveries[[#This Row],[FC]]))</f>
        <v/>
      </c>
      <c r="O16" s="59" t="str">
        <f>IF(Recoveries[[#This Row],[Lookup ID]]="","",SUMIFS(Recovery_Helper[Surplus Usage Request],Recovery_Helper[TPBE],Recoveries[[#This Row],[TPBE]],Recovery_Helper[Functional Centre],Recoveries[[#This Row],[FC]]))</f>
        <v/>
      </c>
      <c r="P16" s="169" t="str">
        <f>IF(Recoveries[[#This Row],[Lookup ID]]="","",MAX(Recoveries[[#This Row],[Forecasted Surplus]]-Recoveries[[#This Row],[Surplus Requested]],0))</f>
        <v/>
      </c>
      <c r="Q16" s="216" t="str" cm="1">
        <f t="array" ref="Q16">IF(COUNTBLANK(Recoveries[[#This Row],[TPBE]:[FC]])=0,T(INDEX(_xlfn._xlws.FILTER(Surplus[Column3],(--(Surplus[TPBE]=Recoveries[[#This Row],[TPBE]]))*(--(Surplus[Functional Centre]=Recoveries[[#This Row],[FC]]))),1)),"")</f>
        <v/>
      </c>
      <c r="R16" s="52"/>
      <c r="S16" s="53"/>
      <c r="T16" s="53"/>
      <c r="U16" s="53"/>
      <c r="V16" s="53"/>
      <c r="W16" s="53"/>
      <c r="X16" s="53"/>
      <c r="Y16" s="53"/>
      <c r="Z16" s="53"/>
      <c r="AA16" s="53"/>
      <c r="AB16" s="53"/>
      <c r="AC16" s="53"/>
      <c r="AD16" s="54"/>
      <c r="AE16" s="10" t="str">
        <f>IF(COUNT(Recovery_Helper[Recovery Index])&lt;Recoveries[[#This Row],[Index]],"",SMALL(Recovery_Helper[Recovery Index],Recoveries[[#This Row],[Index]]))</f>
        <v/>
      </c>
      <c r="AF16" s="192">
        <f>ROW()-ROW(Recoveries[[#Headers],[Index]])</f>
        <v>1</v>
      </c>
      <c r="AG16" s="211" t="b">
        <f>COUNTBLANK(Recoveries[[#This Row],[TPBE]:[Recovery Amount]])=0</f>
        <v>0</v>
      </c>
    </row>
    <row r="17" spans="10:33" ht="30" customHeight="1" x14ac:dyDescent="0.35">
      <c r="J17" s="61"/>
      <c r="K17" s="61"/>
      <c r="L17" s="170" t="str">
        <f>IF(LEN(Recoveries[[#This Row],[Lookup ID]])=0,"",INDEX(Recovery_Helper[TPBE],MATCH(Recoveries[[#This Row],[Lookup ID]],Recovery_Helper[Recovery Index],0)))</f>
        <v/>
      </c>
      <c r="M17" s="175" t="str">
        <f>IF(LEN(Recoveries[[#This Row],[Lookup ID]])=0,"",INDEX(Recovery_Helper[Functional Centre],MATCH(Recoveries[[#This Row],[Lookup ID]],Recovery_Helper[Recovery Index],0)))</f>
        <v/>
      </c>
      <c r="N17" s="60" t="str">
        <f>IF(Recoveries[[#This Row],[Lookup ID]]="","",SUMIFS(Recovery_Helper[Forecasted Surplus],Recovery_Helper[TPBE],Recoveries[[#This Row],[TPBE]],Recovery_Helper[Functional Centre],Recoveries[[#This Row],[FC]]))</f>
        <v/>
      </c>
      <c r="O17" s="60" t="str">
        <f>IF(Recoveries[[#This Row],[Lookup ID]]="","",SUMIFS(Recovery_Helper[Surplus Usage Request],Recovery_Helper[TPBE],Recoveries[[#This Row],[TPBE]],Recovery_Helper[Functional Centre],Recoveries[[#This Row],[FC]]))</f>
        <v/>
      </c>
      <c r="P17" s="171" t="str">
        <f>IF(Recoveries[[#This Row],[Lookup ID]]="","",MAX(Recoveries[[#This Row],[Forecasted Surplus]]-Recoveries[[#This Row],[Surplus Requested]],0))</f>
        <v/>
      </c>
      <c r="Q17" s="217" t="str" cm="1">
        <f t="array" ref="Q17">IF(COUNTBLANK(Recoveries[[#This Row],[TPBE]:[FC]])=0,T(INDEX(_xlfn._xlws.FILTER(Surplus[Column3],(--(Surplus[TPBE]=Recoveries[[#This Row],[TPBE]]))*(--(Surplus[Functional Centre]=Recoveries[[#This Row],[FC]]))),1)),"")</f>
        <v/>
      </c>
      <c r="R17" s="55"/>
      <c r="S17" s="51"/>
      <c r="T17" s="51"/>
      <c r="U17" s="51"/>
      <c r="V17" s="51"/>
      <c r="W17" s="51"/>
      <c r="X17" s="51"/>
      <c r="Y17" s="51"/>
      <c r="Z17" s="51"/>
      <c r="AA17" s="51"/>
      <c r="AB17" s="51"/>
      <c r="AC17" s="51"/>
      <c r="AD17" s="45"/>
      <c r="AE17" s="10" t="str">
        <f>IF(COUNT(Recovery_Helper[Recovery Index])&lt;Recoveries[[#This Row],[Index]],"",SMALL(Recovery_Helper[Recovery Index],Recoveries[[#This Row],[Index]]))</f>
        <v/>
      </c>
      <c r="AF17" s="192">
        <f>ROW()-ROW(Recoveries[[#Headers],[Index]])</f>
        <v>2</v>
      </c>
      <c r="AG17" s="211" t="b">
        <f>COUNTBLANK(Recoveries[[#This Row],[TPBE]:[Recovery Amount]])=0</f>
        <v>0</v>
      </c>
    </row>
    <row r="18" spans="10:33" ht="30" customHeight="1" x14ac:dyDescent="0.35">
      <c r="J18" s="61"/>
      <c r="K18" s="61"/>
      <c r="L18" s="170" t="str">
        <f>IF(LEN(Recoveries[[#This Row],[Lookup ID]])=0,"",INDEX(Recovery_Helper[TPBE],MATCH(Recoveries[[#This Row],[Lookup ID]],Recovery_Helper[Recovery Index],0)))</f>
        <v/>
      </c>
      <c r="M18" s="175" t="str">
        <f>IF(LEN(Recoveries[[#This Row],[Lookup ID]])=0,"",INDEX(Recovery_Helper[Functional Centre],MATCH(Recoveries[[#This Row],[Lookup ID]],Recovery_Helper[Recovery Index],0)))</f>
        <v/>
      </c>
      <c r="N18" s="60" t="str">
        <f>IF(Recoveries[[#This Row],[Lookup ID]]="","",SUMIFS(Recovery_Helper[Forecasted Surplus],Recovery_Helper[TPBE],Recoveries[[#This Row],[TPBE]],Recovery_Helper[Functional Centre],Recoveries[[#This Row],[FC]]))</f>
        <v/>
      </c>
      <c r="O18" s="60" t="str">
        <f>IF(Recoveries[[#This Row],[Lookup ID]]="","",SUMIFS(Recovery_Helper[Surplus Usage Request],Recovery_Helper[TPBE],Recoveries[[#This Row],[TPBE]],Recovery_Helper[Functional Centre],Recoveries[[#This Row],[FC]]))</f>
        <v/>
      </c>
      <c r="P18" s="171" t="str">
        <f>IF(Recoveries[[#This Row],[Lookup ID]]="","",MAX(Recoveries[[#This Row],[Forecasted Surplus]]-Recoveries[[#This Row],[Surplus Requested]],0))</f>
        <v/>
      </c>
      <c r="Q18" s="217" t="str" cm="1">
        <f t="array" ref="Q18">IF(COUNTBLANK(Recoveries[[#This Row],[TPBE]:[FC]])=0,T(INDEX(_xlfn._xlws.FILTER(Surplus[Column3],(--(Surplus[TPBE]=Recoveries[[#This Row],[TPBE]]))*(--(Surplus[Functional Centre]=Recoveries[[#This Row],[FC]]))),1)),"")</f>
        <v/>
      </c>
      <c r="R18" s="55"/>
      <c r="S18" s="51"/>
      <c r="T18" s="51"/>
      <c r="U18" s="51"/>
      <c r="V18" s="51"/>
      <c r="W18" s="51"/>
      <c r="X18" s="51"/>
      <c r="Y18" s="51"/>
      <c r="Z18" s="51"/>
      <c r="AA18" s="51"/>
      <c r="AB18" s="51"/>
      <c r="AC18" s="51"/>
      <c r="AD18" s="45"/>
      <c r="AE18" s="10" t="str">
        <f>IF(COUNT(Recovery_Helper[Recovery Index])&lt;Recoveries[[#This Row],[Index]],"",SMALL(Recovery_Helper[Recovery Index],Recoveries[[#This Row],[Index]]))</f>
        <v/>
      </c>
      <c r="AF18" s="192">
        <f>ROW()-ROW(Recoveries[[#Headers],[Index]])</f>
        <v>3</v>
      </c>
      <c r="AG18" s="211" t="b">
        <f>COUNTBLANK(Recoveries[[#This Row],[TPBE]:[Recovery Amount]])=0</f>
        <v>0</v>
      </c>
    </row>
    <row r="19" spans="10:33" ht="30" customHeight="1" x14ac:dyDescent="0.35">
      <c r="J19" s="61"/>
      <c r="K19" s="61"/>
      <c r="L19" s="170" t="str">
        <f>IF(LEN(Recoveries[[#This Row],[Lookup ID]])=0,"",INDEX(Recovery_Helper[TPBE],MATCH(Recoveries[[#This Row],[Lookup ID]],Recovery_Helper[Recovery Index],0)))</f>
        <v/>
      </c>
      <c r="M19" s="175" t="str">
        <f>IF(LEN(Recoveries[[#This Row],[Lookup ID]])=0,"",INDEX(Recovery_Helper[Functional Centre],MATCH(Recoveries[[#This Row],[Lookup ID]],Recovery_Helper[Recovery Index],0)))</f>
        <v/>
      </c>
      <c r="N19" s="60" t="str">
        <f>IF(Recoveries[[#This Row],[Lookup ID]]="","",SUMIFS(Recovery_Helper[Forecasted Surplus],Recovery_Helper[TPBE],Recoveries[[#This Row],[TPBE]],Recovery_Helper[Functional Centre],Recoveries[[#This Row],[FC]]))</f>
        <v/>
      </c>
      <c r="O19" s="60" t="str">
        <f>IF(Recoveries[[#This Row],[Lookup ID]]="","",SUMIFS(Recovery_Helper[Surplus Usage Request],Recovery_Helper[TPBE],Recoveries[[#This Row],[TPBE]],Recovery_Helper[Functional Centre],Recoveries[[#This Row],[FC]]))</f>
        <v/>
      </c>
      <c r="P19" s="171" t="str">
        <f>IF(Recoveries[[#This Row],[Lookup ID]]="","",MAX(Recoveries[[#This Row],[Forecasted Surplus]]-Recoveries[[#This Row],[Surplus Requested]],0))</f>
        <v/>
      </c>
      <c r="Q19" s="217" t="str" cm="1">
        <f t="array" ref="Q19">IF(COUNTBLANK(Recoveries[[#This Row],[TPBE]:[FC]])=0,T(INDEX(_xlfn._xlws.FILTER(Surplus[Column3],(--(Surplus[TPBE]=Recoveries[[#This Row],[TPBE]]))*(--(Surplus[Functional Centre]=Recoveries[[#This Row],[FC]]))),1)),"")</f>
        <v/>
      </c>
      <c r="R19" s="55"/>
      <c r="S19" s="51"/>
      <c r="T19" s="51"/>
      <c r="U19" s="51"/>
      <c r="V19" s="51"/>
      <c r="W19" s="51"/>
      <c r="X19" s="51"/>
      <c r="Y19" s="51"/>
      <c r="Z19" s="51"/>
      <c r="AA19" s="51"/>
      <c r="AB19" s="51"/>
      <c r="AC19" s="51"/>
      <c r="AD19" s="45"/>
      <c r="AE19" s="10" t="str">
        <f>IF(COUNT(Recovery_Helper[Recovery Index])&lt;Recoveries[[#This Row],[Index]],"",SMALL(Recovery_Helper[Recovery Index],Recoveries[[#This Row],[Index]]))</f>
        <v/>
      </c>
      <c r="AF19" s="192">
        <f>ROW()-ROW(Recoveries[[#Headers],[Index]])</f>
        <v>4</v>
      </c>
      <c r="AG19" s="211" t="b">
        <f>COUNTBLANK(Recoveries[[#This Row],[TPBE]:[Recovery Amount]])=0</f>
        <v>0</v>
      </c>
    </row>
    <row r="20" spans="10:33" ht="30" customHeight="1" x14ac:dyDescent="0.35">
      <c r="J20" s="61"/>
      <c r="K20" s="61"/>
      <c r="L20" s="170" t="str">
        <f>IF(LEN(Recoveries[[#This Row],[Lookup ID]])=0,"",INDEX(Recovery_Helper[TPBE],MATCH(Recoveries[[#This Row],[Lookup ID]],Recovery_Helper[Recovery Index],0)))</f>
        <v/>
      </c>
      <c r="M20" s="175" t="str">
        <f>IF(LEN(Recoveries[[#This Row],[Lookup ID]])=0,"",INDEX(Recovery_Helper[Functional Centre],MATCH(Recoveries[[#This Row],[Lookup ID]],Recovery_Helper[Recovery Index],0)))</f>
        <v/>
      </c>
      <c r="N20" s="60" t="str">
        <f>IF(Recoveries[[#This Row],[Lookup ID]]="","",SUMIFS(Recovery_Helper[Forecasted Surplus],Recovery_Helper[TPBE],Recoveries[[#This Row],[TPBE]],Recovery_Helper[Functional Centre],Recoveries[[#This Row],[FC]]))</f>
        <v/>
      </c>
      <c r="O20" s="60" t="str">
        <f>IF(Recoveries[[#This Row],[Lookup ID]]="","",SUMIFS(Recovery_Helper[Surplus Usage Request],Recovery_Helper[TPBE],Recoveries[[#This Row],[TPBE]],Recovery_Helper[Functional Centre],Recoveries[[#This Row],[FC]]))</f>
        <v/>
      </c>
      <c r="P20" s="171" t="str">
        <f>IF(Recoveries[[#This Row],[Lookup ID]]="","",MAX(Recoveries[[#This Row],[Forecasted Surplus]]-Recoveries[[#This Row],[Surplus Requested]],0))</f>
        <v/>
      </c>
      <c r="Q20" s="217" t="str" cm="1">
        <f t="array" ref="Q20">IF(COUNTBLANK(Recoveries[[#This Row],[TPBE]:[FC]])=0,T(INDEX(_xlfn._xlws.FILTER(Surplus[Column3],(--(Surplus[TPBE]=Recoveries[[#This Row],[TPBE]]))*(--(Surplus[Functional Centre]=Recoveries[[#This Row],[FC]]))),1)),"")</f>
        <v/>
      </c>
      <c r="R20" s="55"/>
      <c r="S20" s="51"/>
      <c r="T20" s="51"/>
      <c r="U20" s="51"/>
      <c r="V20" s="51"/>
      <c r="W20" s="51"/>
      <c r="X20" s="51"/>
      <c r="Y20" s="51"/>
      <c r="Z20" s="51"/>
      <c r="AA20" s="51"/>
      <c r="AB20" s="51"/>
      <c r="AC20" s="51"/>
      <c r="AD20" s="45"/>
      <c r="AE20" s="10" t="str">
        <f>IF(COUNT(Recovery_Helper[Recovery Index])&lt;Recoveries[[#This Row],[Index]],"",SMALL(Recovery_Helper[Recovery Index],Recoveries[[#This Row],[Index]]))</f>
        <v/>
      </c>
      <c r="AF20" s="192">
        <f>ROW()-ROW(Recoveries[[#Headers],[Index]])</f>
        <v>5</v>
      </c>
      <c r="AG20" s="211" t="b">
        <f>COUNTBLANK(Recoveries[[#This Row],[TPBE]:[Recovery Amount]])=0</f>
        <v>0</v>
      </c>
    </row>
    <row r="21" spans="10:33" ht="30" customHeight="1" x14ac:dyDescent="0.35">
      <c r="J21" s="61"/>
      <c r="K21" s="61"/>
      <c r="L21" s="170" t="str">
        <f>IF(LEN(Recoveries[[#This Row],[Lookup ID]])=0,"",INDEX(Recovery_Helper[TPBE],MATCH(Recoveries[[#This Row],[Lookup ID]],Recovery_Helper[Recovery Index],0)))</f>
        <v/>
      </c>
      <c r="M21" s="175" t="str">
        <f>IF(LEN(Recoveries[[#This Row],[Lookup ID]])=0,"",INDEX(Recovery_Helper[Functional Centre],MATCH(Recoveries[[#This Row],[Lookup ID]],Recovery_Helper[Recovery Index],0)))</f>
        <v/>
      </c>
      <c r="N21" s="60" t="str">
        <f>IF(Recoveries[[#This Row],[Lookup ID]]="","",SUMIFS(Recovery_Helper[Forecasted Surplus],Recovery_Helper[TPBE],Recoveries[[#This Row],[TPBE]],Recovery_Helper[Functional Centre],Recoveries[[#This Row],[FC]]))</f>
        <v/>
      </c>
      <c r="O21" s="60" t="str">
        <f>IF(Recoveries[[#This Row],[Lookup ID]]="","",SUMIFS(Recovery_Helper[Surplus Usage Request],Recovery_Helper[TPBE],Recoveries[[#This Row],[TPBE]],Recovery_Helper[Functional Centre],Recoveries[[#This Row],[FC]]))</f>
        <v/>
      </c>
      <c r="P21" s="171" t="str">
        <f>IF(Recoveries[[#This Row],[Lookup ID]]="","",MAX(Recoveries[[#This Row],[Forecasted Surplus]]-Recoveries[[#This Row],[Surplus Requested]],0))</f>
        <v/>
      </c>
      <c r="Q21" s="217" t="str" cm="1">
        <f t="array" ref="Q21">IF(COUNTBLANK(Recoveries[[#This Row],[TPBE]:[FC]])=0,T(INDEX(_xlfn._xlws.FILTER(Surplus[Column3],(--(Surplus[TPBE]=Recoveries[[#This Row],[TPBE]]))*(--(Surplus[Functional Centre]=Recoveries[[#This Row],[FC]]))),1)),"")</f>
        <v/>
      </c>
      <c r="R21" s="55"/>
      <c r="S21" s="51"/>
      <c r="T21" s="51"/>
      <c r="U21" s="51"/>
      <c r="V21" s="51"/>
      <c r="W21" s="51"/>
      <c r="X21" s="51"/>
      <c r="Y21" s="51"/>
      <c r="Z21" s="51"/>
      <c r="AA21" s="51"/>
      <c r="AB21" s="51"/>
      <c r="AC21" s="51"/>
      <c r="AD21" s="45"/>
      <c r="AE21" s="10" t="str">
        <f>IF(COUNT(Recovery_Helper[Recovery Index])&lt;Recoveries[[#This Row],[Index]],"",SMALL(Recovery_Helper[Recovery Index],Recoveries[[#This Row],[Index]]))</f>
        <v/>
      </c>
      <c r="AF21" s="192">
        <f>ROW()-ROW(Recoveries[[#Headers],[Index]])</f>
        <v>6</v>
      </c>
      <c r="AG21" s="211" t="b">
        <f>COUNTBLANK(Recoveries[[#This Row],[TPBE]:[Recovery Amount]])=0</f>
        <v>0</v>
      </c>
    </row>
    <row r="22" spans="10:33" ht="30" customHeight="1" x14ac:dyDescent="0.35">
      <c r="J22" s="61"/>
      <c r="K22" s="61"/>
      <c r="L22" s="170" t="str">
        <f>IF(LEN(Recoveries[[#This Row],[Lookup ID]])=0,"",INDEX(Recovery_Helper[TPBE],MATCH(Recoveries[[#This Row],[Lookup ID]],Recovery_Helper[Recovery Index],0)))</f>
        <v/>
      </c>
      <c r="M22" s="175" t="str">
        <f>IF(LEN(Recoveries[[#This Row],[Lookup ID]])=0,"",INDEX(Recovery_Helper[Functional Centre],MATCH(Recoveries[[#This Row],[Lookup ID]],Recovery_Helper[Recovery Index],0)))</f>
        <v/>
      </c>
      <c r="N22" s="60" t="str">
        <f>IF(Recoveries[[#This Row],[Lookup ID]]="","",SUMIFS(Recovery_Helper[Forecasted Surplus],Recovery_Helper[TPBE],Recoveries[[#This Row],[TPBE]],Recovery_Helper[Functional Centre],Recoveries[[#This Row],[FC]]))</f>
        <v/>
      </c>
      <c r="O22" s="60" t="str">
        <f>IF(Recoveries[[#This Row],[Lookup ID]]="","",SUMIFS(Recovery_Helper[Surplus Usage Request],Recovery_Helper[TPBE],Recoveries[[#This Row],[TPBE]],Recovery_Helper[Functional Centre],Recoveries[[#This Row],[FC]]))</f>
        <v/>
      </c>
      <c r="P22" s="171" t="str">
        <f>IF(Recoveries[[#This Row],[Lookup ID]]="","",MAX(Recoveries[[#This Row],[Forecasted Surplus]]-Recoveries[[#This Row],[Surplus Requested]],0))</f>
        <v/>
      </c>
      <c r="Q22" s="217" t="str" cm="1">
        <f t="array" ref="Q22">IF(COUNTBLANK(Recoveries[[#This Row],[TPBE]:[FC]])=0,T(INDEX(_xlfn._xlws.FILTER(Surplus[Column3],(--(Surplus[TPBE]=Recoveries[[#This Row],[TPBE]]))*(--(Surplus[Functional Centre]=Recoveries[[#This Row],[FC]]))),1)),"")</f>
        <v/>
      </c>
      <c r="R22" s="55"/>
      <c r="S22" s="51"/>
      <c r="T22" s="51"/>
      <c r="U22" s="51"/>
      <c r="V22" s="51"/>
      <c r="W22" s="51"/>
      <c r="X22" s="51"/>
      <c r="Y22" s="51"/>
      <c r="Z22" s="51"/>
      <c r="AA22" s="51"/>
      <c r="AB22" s="51"/>
      <c r="AC22" s="51"/>
      <c r="AD22" s="45"/>
      <c r="AE22" s="10" t="str">
        <f>IF(COUNT(Recovery_Helper[Recovery Index])&lt;Recoveries[[#This Row],[Index]],"",SMALL(Recovery_Helper[Recovery Index],Recoveries[[#This Row],[Index]]))</f>
        <v/>
      </c>
      <c r="AF22" s="192">
        <f>ROW()-ROW(Recoveries[[#Headers],[Index]])</f>
        <v>7</v>
      </c>
      <c r="AG22" s="211" t="b">
        <f>COUNTBLANK(Recoveries[[#This Row],[TPBE]:[Recovery Amount]])=0</f>
        <v>0</v>
      </c>
    </row>
    <row r="23" spans="10:33" ht="30" customHeight="1" x14ac:dyDescent="0.35">
      <c r="J23" s="61"/>
      <c r="K23" s="61"/>
      <c r="L23" s="170" t="str">
        <f>IF(LEN(Recoveries[[#This Row],[Lookup ID]])=0,"",INDEX(Recovery_Helper[TPBE],MATCH(Recoveries[[#This Row],[Lookup ID]],Recovery_Helper[Recovery Index],0)))</f>
        <v/>
      </c>
      <c r="M23" s="175" t="str">
        <f>IF(LEN(Recoveries[[#This Row],[Lookup ID]])=0,"",INDEX(Recovery_Helper[Functional Centre],MATCH(Recoveries[[#This Row],[Lookup ID]],Recovery_Helper[Recovery Index],0)))</f>
        <v/>
      </c>
      <c r="N23" s="60" t="str">
        <f>IF(Recoveries[[#This Row],[Lookup ID]]="","",SUMIFS(Recovery_Helper[Forecasted Surplus],Recovery_Helper[TPBE],Recoveries[[#This Row],[TPBE]],Recovery_Helper[Functional Centre],Recoveries[[#This Row],[FC]]))</f>
        <v/>
      </c>
      <c r="O23" s="60" t="str">
        <f>IF(Recoveries[[#This Row],[Lookup ID]]="","",SUMIFS(Recovery_Helper[Surplus Usage Request],Recovery_Helper[TPBE],Recoveries[[#This Row],[TPBE]],Recovery_Helper[Functional Centre],Recoveries[[#This Row],[FC]]))</f>
        <v/>
      </c>
      <c r="P23" s="171" t="str">
        <f>IF(Recoveries[[#This Row],[Lookup ID]]="","",MAX(Recoveries[[#This Row],[Forecasted Surplus]]-Recoveries[[#This Row],[Surplus Requested]],0))</f>
        <v/>
      </c>
      <c r="Q23" s="217" t="str" cm="1">
        <f t="array" ref="Q23">IF(COUNTBLANK(Recoveries[[#This Row],[TPBE]:[FC]])=0,T(INDEX(_xlfn._xlws.FILTER(Surplus[Column3],(--(Surplus[TPBE]=Recoveries[[#This Row],[TPBE]]))*(--(Surplus[Functional Centre]=Recoveries[[#This Row],[FC]]))),1)),"")</f>
        <v/>
      </c>
      <c r="R23" s="55"/>
      <c r="S23" s="51"/>
      <c r="T23" s="51"/>
      <c r="U23" s="51"/>
      <c r="V23" s="51"/>
      <c r="W23" s="51"/>
      <c r="X23" s="51"/>
      <c r="Y23" s="51"/>
      <c r="Z23" s="51"/>
      <c r="AA23" s="51"/>
      <c r="AB23" s="51"/>
      <c r="AC23" s="51"/>
      <c r="AD23" s="45"/>
      <c r="AE23" s="10" t="str">
        <f>IF(COUNT(Recovery_Helper[Recovery Index])&lt;Recoveries[[#This Row],[Index]],"",SMALL(Recovery_Helper[Recovery Index],Recoveries[[#This Row],[Index]]))</f>
        <v/>
      </c>
      <c r="AF23" s="192">
        <f>ROW()-ROW(Recoveries[[#Headers],[Index]])</f>
        <v>8</v>
      </c>
      <c r="AG23" s="211" t="b">
        <f>COUNTBLANK(Recoveries[[#This Row],[TPBE]:[Recovery Amount]])=0</f>
        <v>0</v>
      </c>
    </row>
    <row r="24" spans="10:33" ht="30" customHeight="1" x14ac:dyDescent="0.35">
      <c r="J24" s="61"/>
      <c r="K24" s="61"/>
      <c r="L24" s="170" t="str">
        <f>IF(LEN(Recoveries[[#This Row],[Lookup ID]])=0,"",INDEX(Recovery_Helper[TPBE],MATCH(Recoveries[[#This Row],[Lookup ID]],Recovery_Helper[Recovery Index],0)))</f>
        <v/>
      </c>
      <c r="M24" s="175" t="str">
        <f>IF(LEN(Recoveries[[#This Row],[Lookup ID]])=0,"",INDEX(Recovery_Helper[Functional Centre],MATCH(Recoveries[[#This Row],[Lookup ID]],Recovery_Helper[Recovery Index],0)))</f>
        <v/>
      </c>
      <c r="N24" s="60" t="str">
        <f>IF(Recoveries[[#This Row],[Lookup ID]]="","",SUMIFS(Recovery_Helper[Forecasted Surplus],Recovery_Helper[TPBE],Recoveries[[#This Row],[TPBE]],Recovery_Helper[Functional Centre],Recoveries[[#This Row],[FC]]))</f>
        <v/>
      </c>
      <c r="O24" s="60" t="str">
        <f>IF(Recoveries[[#This Row],[Lookup ID]]="","",SUMIFS(Recovery_Helper[Surplus Usage Request],Recovery_Helper[TPBE],Recoveries[[#This Row],[TPBE]],Recovery_Helper[Functional Centre],Recoveries[[#This Row],[FC]]))</f>
        <v/>
      </c>
      <c r="P24" s="171" t="str">
        <f>IF(Recoveries[[#This Row],[Lookup ID]]="","",MAX(Recoveries[[#This Row],[Forecasted Surplus]]-Recoveries[[#This Row],[Surplus Requested]],0))</f>
        <v/>
      </c>
      <c r="Q24" s="217" t="str" cm="1">
        <f t="array" ref="Q24">IF(COUNTBLANK(Recoveries[[#This Row],[TPBE]:[FC]])=0,T(INDEX(_xlfn._xlws.FILTER(Surplus[Column3],(--(Surplus[TPBE]=Recoveries[[#This Row],[TPBE]]))*(--(Surplus[Functional Centre]=Recoveries[[#This Row],[FC]]))),1)),"")</f>
        <v/>
      </c>
      <c r="R24" s="55"/>
      <c r="S24" s="51"/>
      <c r="T24" s="51"/>
      <c r="U24" s="51"/>
      <c r="V24" s="51"/>
      <c r="W24" s="51"/>
      <c r="X24" s="51"/>
      <c r="Y24" s="51"/>
      <c r="Z24" s="51"/>
      <c r="AA24" s="51"/>
      <c r="AB24" s="51"/>
      <c r="AC24" s="51"/>
      <c r="AD24" s="45"/>
      <c r="AE24" s="10" t="str">
        <f>IF(COUNT(Recovery_Helper[Recovery Index])&lt;Recoveries[[#This Row],[Index]],"",SMALL(Recovery_Helper[Recovery Index],Recoveries[[#This Row],[Index]]))</f>
        <v/>
      </c>
      <c r="AF24" s="192">
        <f>ROW()-ROW(Recoveries[[#Headers],[Index]])</f>
        <v>9</v>
      </c>
      <c r="AG24" s="211" t="b">
        <f>COUNTBLANK(Recoveries[[#This Row],[TPBE]:[Recovery Amount]])=0</f>
        <v>0</v>
      </c>
    </row>
    <row r="25" spans="10:33" ht="30" customHeight="1" x14ac:dyDescent="0.35">
      <c r="J25" s="61"/>
      <c r="K25" s="61"/>
      <c r="L25" s="170" t="str">
        <f>IF(LEN(Recoveries[[#This Row],[Lookup ID]])=0,"",INDEX(Recovery_Helper[TPBE],MATCH(Recoveries[[#This Row],[Lookup ID]],Recovery_Helper[Recovery Index],0)))</f>
        <v/>
      </c>
      <c r="M25" s="175" t="str">
        <f>IF(LEN(Recoveries[[#This Row],[Lookup ID]])=0,"",INDEX(Recovery_Helper[Functional Centre],MATCH(Recoveries[[#This Row],[Lookup ID]],Recovery_Helper[Recovery Index],0)))</f>
        <v/>
      </c>
      <c r="N25" s="60" t="str">
        <f>IF(Recoveries[[#This Row],[Lookup ID]]="","",SUMIFS(Recovery_Helper[Forecasted Surplus],Recovery_Helper[TPBE],Recoveries[[#This Row],[TPBE]],Recovery_Helper[Functional Centre],Recoveries[[#This Row],[FC]]))</f>
        <v/>
      </c>
      <c r="O25" s="60" t="str">
        <f>IF(Recoveries[[#This Row],[Lookup ID]]="","",SUMIFS(Recovery_Helper[Surplus Usage Request],Recovery_Helper[TPBE],Recoveries[[#This Row],[TPBE]],Recovery_Helper[Functional Centre],Recoveries[[#This Row],[FC]]))</f>
        <v/>
      </c>
      <c r="P25" s="171" t="str">
        <f>IF(Recoveries[[#This Row],[Lookup ID]]="","",MAX(Recoveries[[#This Row],[Forecasted Surplus]]-Recoveries[[#This Row],[Surplus Requested]],0))</f>
        <v/>
      </c>
      <c r="Q25" s="217" t="str" cm="1">
        <f t="array" ref="Q25">IF(COUNTBLANK(Recoveries[[#This Row],[TPBE]:[FC]])=0,T(INDEX(_xlfn._xlws.FILTER(Surplus[Column3],(--(Surplus[TPBE]=Recoveries[[#This Row],[TPBE]]))*(--(Surplus[Functional Centre]=Recoveries[[#This Row],[FC]]))),1)),"")</f>
        <v/>
      </c>
      <c r="R25" s="55"/>
      <c r="S25" s="51"/>
      <c r="T25" s="51"/>
      <c r="U25" s="51"/>
      <c r="V25" s="51"/>
      <c r="W25" s="51"/>
      <c r="X25" s="51"/>
      <c r="Y25" s="51"/>
      <c r="Z25" s="51"/>
      <c r="AA25" s="51"/>
      <c r="AB25" s="51"/>
      <c r="AC25" s="51"/>
      <c r="AD25" s="45"/>
      <c r="AE25" s="10" t="str">
        <f>IF(COUNT(Recovery_Helper[Recovery Index])&lt;Recoveries[[#This Row],[Index]],"",SMALL(Recovery_Helper[Recovery Index],Recoveries[[#This Row],[Index]]))</f>
        <v/>
      </c>
      <c r="AF25" s="192">
        <f>ROW()-ROW(Recoveries[[#Headers],[Index]])</f>
        <v>10</v>
      </c>
      <c r="AG25" s="211" t="b">
        <f>COUNTBLANK(Recoveries[[#This Row],[TPBE]:[Recovery Amount]])=0</f>
        <v>0</v>
      </c>
    </row>
    <row r="26" spans="10:33" ht="30" customHeight="1" x14ac:dyDescent="0.35">
      <c r="J26" s="61"/>
      <c r="K26" s="61"/>
      <c r="L26" s="170" t="str">
        <f>IF(LEN(Recoveries[[#This Row],[Lookup ID]])=0,"",INDEX(Recovery_Helper[TPBE],MATCH(Recoveries[[#This Row],[Lookup ID]],Recovery_Helper[Recovery Index],0)))</f>
        <v/>
      </c>
      <c r="M26" s="175" t="str">
        <f>IF(LEN(Recoveries[[#This Row],[Lookup ID]])=0,"",INDEX(Recovery_Helper[Functional Centre],MATCH(Recoveries[[#This Row],[Lookup ID]],Recovery_Helper[Recovery Index],0)))</f>
        <v/>
      </c>
      <c r="N26" s="60" t="str">
        <f>IF(Recoveries[[#This Row],[Lookup ID]]="","",SUMIFS(Recovery_Helper[Forecasted Surplus],Recovery_Helper[TPBE],Recoveries[[#This Row],[TPBE]],Recovery_Helper[Functional Centre],Recoveries[[#This Row],[FC]]))</f>
        <v/>
      </c>
      <c r="O26" s="60" t="str">
        <f>IF(Recoveries[[#This Row],[Lookup ID]]="","",SUMIFS(Recovery_Helper[Surplus Usage Request],Recovery_Helper[TPBE],Recoveries[[#This Row],[TPBE]],Recovery_Helper[Functional Centre],Recoveries[[#This Row],[FC]]))</f>
        <v/>
      </c>
      <c r="P26" s="171" t="str">
        <f>IF(Recoveries[[#This Row],[Lookup ID]]="","",MAX(Recoveries[[#This Row],[Forecasted Surplus]]-Recoveries[[#This Row],[Surplus Requested]],0))</f>
        <v/>
      </c>
      <c r="Q26" s="217" t="str" cm="1">
        <f t="array" ref="Q26">IF(COUNTBLANK(Recoveries[[#This Row],[TPBE]:[FC]])=0,T(INDEX(_xlfn._xlws.FILTER(Surplus[Column3],(--(Surplus[TPBE]=Recoveries[[#This Row],[TPBE]]))*(--(Surplus[Functional Centre]=Recoveries[[#This Row],[FC]]))),1)),"")</f>
        <v/>
      </c>
      <c r="R26" s="55"/>
      <c r="S26" s="51"/>
      <c r="T26" s="51"/>
      <c r="U26" s="51"/>
      <c r="V26" s="51"/>
      <c r="W26" s="51"/>
      <c r="X26" s="51"/>
      <c r="Y26" s="51"/>
      <c r="Z26" s="51"/>
      <c r="AA26" s="51"/>
      <c r="AB26" s="51"/>
      <c r="AC26" s="51"/>
      <c r="AD26" s="45"/>
      <c r="AE26" s="193" t="str">
        <f>IF(COUNT(Recovery_Helper[Recovery Index])&lt;Recoveries[[#This Row],[Index]],"",SMALL(Recovery_Helper[Recovery Index],Recoveries[[#This Row],[Index]]))</f>
        <v/>
      </c>
      <c r="AF26" s="194">
        <f>ROW()-ROW(Recoveries[[#Headers],[Index]])</f>
        <v>11</v>
      </c>
      <c r="AG26" s="211" t="b">
        <f>COUNTBLANK(Recoveries[[#This Row],[TPBE]:[Recovery Amount]])=0</f>
        <v>0</v>
      </c>
    </row>
    <row r="27" spans="10:33" ht="30" customHeight="1" x14ac:dyDescent="0.35">
      <c r="J27" s="61"/>
      <c r="K27" s="61"/>
      <c r="L27" s="170" t="str">
        <f>IF(LEN(Recoveries[[#This Row],[Lookup ID]])=0,"",INDEX(Recovery_Helper[TPBE],MATCH(Recoveries[[#This Row],[Lookup ID]],Recovery_Helper[Recovery Index],0)))</f>
        <v/>
      </c>
      <c r="M27" s="175" t="str">
        <f>IF(LEN(Recoveries[[#This Row],[Lookup ID]])=0,"",INDEX(Recovery_Helper[Functional Centre],MATCH(Recoveries[[#This Row],[Lookup ID]],Recovery_Helper[Recovery Index],0)))</f>
        <v/>
      </c>
      <c r="N27" s="60" t="str">
        <f>IF(Recoveries[[#This Row],[Lookup ID]]="","",SUMIFS(Recovery_Helper[Forecasted Surplus],Recovery_Helper[TPBE],Recoveries[[#This Row],[TPBE]],Recovery_Helper[Functional Centre],Recoveries[[#This Row],[FC]]))</f>
        <v/>
      </c>
      <c r="O27" s="60" t="str">
        <f>IF(Recoveries[[#This Row],[Lookup ID]]="","",SUMIFS(Recovery_Helper[Surplus Usage Request],Recovery_Helper[TPBE],Recoveries[[#This Row],[TPBE]],Recovery_Helper[Functional Centre],Recoveries[[#This Row],[FC]]))</f>
        <v/>
      </c>
      <c r="P27" s="171" t="str">
        <f>IF(Recoveries[[#This Row],[Lookup ID]]="","",MAX(Recoveries[[#This Row],[Forecasted Surplus]]-Recoveries[[#This Row],[Surplus Requested]],0))</f>
        <v/>
      </c>
      <c r="Q27" s="217" t="str" cm="1">
        <f t="array" ref="Q27">IF(COUNTBLANK(Recoveries[[#This Row],[TPBE]:[FC]])=0,T(INDEX(_xlfn._xlws.FILTER(Surplus[Column3],(--(Surplus[TPBE]=Recoveries[[#This Row],[TPBE]]))*(--(Surplus[Functional Centre]=Recoveries[[#This Row],[FC]]))),1)),"")</f>
        <v/>
      </c>
      <c r="R27" s="55"/>
      <c r="S27" s="51"/>
      <c r="T27" s="51"/>
      <c r="U27" s="51"/>
      <c r="V27" s="51"/>
      <c r="W27" s="51"/>
      <c r="X27" s="51"/>
      <c r="Y27" s="51"/>
      <c r="Z27" s="51"/>
      <c r="AA27" s="51"/>
      <c r="AB27" s="51"/>
      <c r="AC27" s="51"/>
      <c r="AD27" s="45"/>
      <c r="AE27" s="193" t="str">
        <f>IF(COUNT(Recovery_Helper[Recovery Index])&lt;Recoveries[[#This Row],[Index]],"",SMALL(Recovery_Helper[Recovery Index],Recoveries[[#This Row],[Index]]))</f>
        <v/>
      </c>
      <c r="AF27" s="194">
        <f>ROW()-ROW(Recoveries[[#Headers],[Index]])</f>
        <v>12</v>
      </c>
      <c r="AG27" s="211" t="b">
        <f>COUNTBLANK(Recoveries[[#This Row],[TPBE]:[Recovery Amount]])=0</f>
        <v>0</v>
      </c>
    </row>
    <row r="28" spans="10:33" ht="30" customHeight="1" x14ac:dyDescent="0.35">
      <c r="J28" s="61"/>
      <c r="K28" s="61"/>
      <c r="L28" s="170" t="str">
        <f>IF(LEN(Recoveries[[#This Row],[Lookup ID]])=0,"",INDEX(Recovery_Helper[TPBE],MATCH(Recoveries[[#This Row],[Lookup ID]],Recovery_Helper[Recovery Index],0)))</f>
        <v/>
      </c>
      <c r="M28" s="175" t="str">
        <f>IF(LEN(Recoveries[[#This Row],[Lookup ID]])=0,"",INDEX(Recovery_Helper[Functional Centre],MATCH(Recoveries[[#This Row],[Lookup ID]],Recovery_Helper[Recovery Index],0)))</f>
        <v/>
      </c>
      <c r="N28" s="60" t="str">
        <f>IF(Recoveries[[#This Row],[Lookup ID]]="","",SUMIFS(Recovery_Helper[Forecasted Surplus],Recovery_Helper[TPBE],Recoveries[[#This Row],[TPBE]],Recovery_Helper[Functional Centre],Recoveries[[#This Row],[FC]]))</f>
        <v/>
      </c>
      <c r="O28" s="60" t="str">
        <f>IF(Recoveries[[#This Row],[Lookup ID]]="","",SUMIFS(Recovery_Helper[Surplus Usage Request],Recovery_Helper[TPBE],Recoveries[[#This Row],[TPBE]],Recovery_Helper[Functional Centre],Recoveries[[#This Row],[FC]]))</f>
        <v/>
      </c>
      <c r="P28" s="171" t="str">
        <f>IF(Recoveries[[#This Row],[Lookup ID]]="","",MAX(Recoveries[[#This Row],[Forecasted Surplus]]-Recoveries[[#This Row],[Surplus Requested]],0))</f>
        <v/>
      </c>
      <c r="Q28" s="217" t="str" cm="1">
        <f t="array" ref="Q28">IF(COUNTBLANK(Recoveries[[#This Row],[TPBE]:[FC]])=0,T(INDEX(_xlfn._xlws.FILTER(Surplus[Column3],(--(Surplus[TPBE]=Recoveries[[#This Row],[TPBE]]))*(--(Surplus[Functional Centre]=Recoveries[[#This Row],[FC]]))),1)),"")</f>
        <v/>
      </c>
      <c r="R28" s="55"/>
      <c r="S28" s="51"/>
      <c r="T28" s="51"/>
      <c r="U28" s="51"/>
      <c r="V28" s="51"/>
      <c r="W28" s="51"/>
      <c r="X28" s="51"/>
      <c r="Y28" s="51"/>
      <c r="Z28" s="51"/>
      <c r="AA28" s="51"/>
      <c r="AB28" s="51"/>
      <c r="AC28" s="51"/>
      <c r="AD28" s="45"/>
      <c r="AE28" s="193" t="str">
        <f>IF(COUNT(Recovery_Helper[Recovery Index])&lt;Recoveries[[#This Row],[Index]],"",SMALL(Recovery_Helper[Recovery Index],Recoveries[[#This Row],[Index]]))</f>
        <v/>
      </c>
      <c r="AF28" s="194">
        <f>ROW()-ROW(Recoveries[[#Headers],[Index]])</f>
        <v>13</v>
      </c>
      <c r="AG28" s="211" t="b">
        <f>COUNTBLANK(Recoveries[[#This Row],[TPBE]:[Recovery Amount]])=0</f>
        <v>0</v>
      </c>
    </row>
    <row r="29" spans="10:33" ht="30" customHeight="1" x14ac:dyDescent="0.35">
      <c r="J29" s="61"/>
      <c r="K29" s="61"/>
      <c r="L29" s="170" t="str">
        <f>IF(LEN(Recoveries[[#This Row],[Lookup ID]])=0,"",INDEX(Recovery_Helper[TPBE],MATCH(Recoveries[[#This Row],[Lookup ID]],Recovery_Helper[Recovery Index],0)))</f>
        <v/>
      </c>
      <c r="M29" s="175" t="str">
        <f>IF(LEN(Recoveries[[#This Row],[Lookup ID]])=0,"",INDEX(Recovery_Helper[Functional Centre],MATCH(Recoveries[[#This Row],[Lookup ID]],Recovery_Helper[Recovery Index],0)))</f>
        <v/>
      </c>
      <c r="N29" s="60" t="str">
        <f>IF(Recoveries[[#This Row],[Lookup ID]]="","",SUMIFS(Recovery_Helper[Forecasted Surplus],Recovery_Helper[TPBE],Recoveries[[#This Row],[TPBE]],Recovery_Helper[Functional Centre],Recoveries[[#This Row],[FC]]))</f>
        <v/>
      </c>
      <c r="O29" s="60" t="str">
        <f>IF(Recoveries[[#This Row],[Lookup ID]]="","",SUMIFS(Recovery_Helper[Surplus Usage Request],Recovery_Helper[TPBE],Recoveries[[#This Row],[TPBE]],Recovery_Helper[Functional Centre],Recoveries[[#This Row],[FC]]))</f>
        <v/>
      </c>
      <c r="P29" s="171" t="str">
        <f>IF(Recoveries[[#This Row],[Lookup ID]]="","",MAX(Recoveries[[#This Row],[Forecasted Surplus]]-Recoveries[[#This Row],[Surplus Requested]],0))</f>
        <v/>
      </c>
      <c r="Q29" s="217" t="str" cm="1">
        <f t="array" ref="Q29">IF(COUNTBLANK(Recoveries[[#This Row],[TPBE]:[FC]])=0,T(INDEX(_xlfn._xlws.FILTER(Surplus[Column3],(--(Surplus[TPBE]=Recoveries[[#This Row],[TPBE]]))*(--(Surplus[Functional Centre]=Recoveries[[#This Row],[FC]]))),1)),"")</f>
        <v/>
      </c>
      <c r="R29" s="55"/>
      <c r="S29" s="51"/>
      <c r="T29" s="51"/>
      <c r="U29" s="51"/>
      <c r="V29" s="51"/>
      <c r="W29" s="51"/>
      <c r="X29" s="51"/>
      <c r="Y29" s="51"/>
      <c r="Z29" s="51"/>
      <c r="AA29" s="51"/>
      <c r="AB29" s="51"/>
      <c r="AC29" s="51"/>
      <c r="AD29" s="45"/>
      <c r="AE29" s="193" t="str">
        <f>IF(COUNT(Recovery_Helper[Recovery Index])&lt;Recoveries[[#This Row],[Index]],"",SMALL(Recovery_Helper[Recovery Index],Recoveries[[#This Row],[Index]]))</f>
        <v/>
      </c>
      <c r="AF29" s="194">
        <f>ROW()-ROW(Recoveries[[#Headers],[Index]])</f>
        <v>14</v>
      </c>
      <c r="AG29" s="211" t="b">
        <f>COUNTBLANK(Recoveries[[#This Row],[TPBE]:[Recovery Amount]])=0</f>
        <v>0</v>
      </c>
    </row>
    <row r="30" spans="10:33" ht="30" customHeight="1" x14ac:dyDescent="0.35">
      <c r="J30" s="61"/>
      <c r="K30" s="61"/>
      <c r="L30" s="170" t="str">
        <f>IF(LEN(Recoveries[[#This Row],[Lookup ID]])=0,"",INDEX(Recovery_Helper[TPBE],MATCH(Recoveries[[#This Row],[Lookup ID]],Recovery_Helper[Recovery Index],0)))</f>
        <v/>
      </c>
      <c r="M30" s="175" t="str">
        <f>IF(LEN(Recoveries[[#This Row],[Lookup ID]])=0,"",INDEX(Recovery_Helper[Functional Centre],MATCH(Recoveries[[#This Row],[Lookup ID]],Recovery_Helper[Recovery Index],0)))</f>
        <v/>
      </c>
      <c r="N30" s="60" t="str">
        <f>IF(Recoveries[[#This Row],[Lookup ID]]="","",SUMIFS(Recovery_Helper[Forecasted Surplus],Recovery_Helper[TPBE],Recoveries[[#This Row],[TPBE]],Recovery_Helper[Functional Centre],Recoveries[[#This Row],[FC]]))</f>
        <v/>
      </c>
      <c r="O30" s="60" t="str">
        <f>IF(Recoveries[[#This Row],[Lookup ID]]="","",SUMIFS(Recovery_Helper[Surplus Usage Request],Recovery_Helper[TPBE],Recoveries[[#This Row],[TPBE]],Recovery_Helper[Functional Centre],Recoveries[[#This Row],[FC]]))</f>
        <v/>
      </c>
      <c r="P30" s="171" t="str">
        <f>IF(Recoveries[[#This Row],[Lookup ID]]="","",MAX(Recoveries[[#This Row],[Forecasted Surplus]]-Recoveries[[#This Row],[Surplus Requested]],0))</f>
        <v/>
      </c>
      <c r="Q30" s="217" t="str" cm="1">
        <f t="array" ref="Q30">IF(COUNTBLANK(Recoveries[[#This Row],[TPBE]:[FC]])=0,T(INDEX(_xlfn._xlws.FILTER(Surplus[Column3],(--(Surplus[TPBE]=Recoveries[[#This Row],[TPBE]]))*(--(Surplus[Functional Centre]=Recoveries[[#This Row],[FC]]))),1)),"")</f>
        <v/>
      </c>
      <c r="R30" s="55"/>
      <c r="S30" s="51"/>
      <c r="T30" s="51"/>
      <c r="U30" s="51"/>
      <c r="V30" s="51"/>
      <c r="W30" s="51"/>
      <c r="X30" s="51"/>
      <c r="Y30" s="51"/>
      <c r="Z30" s="51"/>
      <c r="AA30" s="51"/>
      <c r="AB30" s="51"/>
      <c r="AC30" s="51"/>
      <c r="AD30" s="45"/>
      <c r="AE30" s="193" t="str">
        <f>IF(COUNT(Recovery_Helper[Recovery Index])&lt;Recoveries[[#This Row],[Index]],"",SMALL(Recovery_Helper[Recovery Index],Recoveries[[#This Row],[Index]]))</f>
        <v/>
      </c>
      <c r="AF30" s="194">
        <f>ROW()-ROW(Recoveries[[#Headers],[Index]])</f>
        <v>15</v>
      </c>
      <c r="AG30" s="211" t="b">
        <f>COUNTBLANK(Recoveries[[#This Row],[TPBE]:[Recovery Amount]])=0</f>
        <v>0</v>
      </c>
    </row>
    <row r="31" spans="10:33" ht="30" customHeight="1" x14ac:dyDescent="0.35">
      <c r="J31" s="61"/>
      <c r="K31" s="61"/>
      <c r="L31" s="170" t="str">
        <f>IF(LEN(Recoveries[[#This Row],[Lookup ID]])=0,"",INDEX(Recovery_Helper[TPBE],MATCH(Recoveries[[#This Row],[Lookup ID]],Recovery_Helper[Recovery Index],0)))</f>
        <v/>
      </c>
      <c r="M31" s="175" t="str">
        <f>IF(LEN(Recoveries[[#This Row],[Lookup ID]])=0,"",INDEX(Recovery_Helper[Functional Centre],MATCH(Recoveries[[#This Row],[Lookup ID]],Recovery_Helper[Recovery Index],0)))</f>
        <v/>
      </c>
      <c r="N31" s="60" t="str">
        <f>IF(Recoveries[[#This Row],[Lookup ID]]="","",SUMIFS(Recovery_Helper[Forecasted Surplus],Recovery_Helper[TPBE],Recoveries[[#This Row],[TPBE]],Recovery_Helper[Functional Centre],Recoveries[[#This Row],[FC]]))</f>
        <v/>
      </c>
      <c r="O31" s="60" t="str">
        <f>IF(Recoveries[[#This Row],[Lookup ID]]="","",SUMIFS(Recovery_Helper[Surplus Usage Request],Recovery_Helper[TPBE],Recoveries[[#This Row],[TPBE]],Recovery_Helper[Functional Centre],Recoveries[[#This Row],[FC]]))</f>
        <v/>
      </c>
      <c r="P31" s="171" t="str">
        <f>IF(Recoveries[[#This Row],[Lookup ID]]="","",MAX(Recoveries[[#This Row],[Forecasted Surplus]]-Recoveries[[#This Row],[Surplus Requested]],0))</f>
        <v/>
      </c>
      <c r="Q31" s="217" t="str" cm="1">
        <f t="array" ref="Q31">IF(COUNTBLANK(Recoveries[[#This Row],[TPBE]:[FC]])=0,T(INDEX(_xlfn._xlws.FILTER(Surplus[Column3],(--(Surplus[TPBE]=Recoveries[[#This Row],[TPBE]]))*(--(Surplus[Functional Centre]=Recoveries[[#This Row],[FC]]))),1)),"")</f>
        <v/>
      </c>
      <c r="R31" s="55"/>
      <c r="S31" s="51"/>
      <c r="T31" s="51"/>
      <c r="U31" s="51"/>
      <c r="V31" s="51"/>
      <c r="W31" s="51"/>
      <c r="X31" s="51"/>
      <c r="Y31" s="51"/>
      <c r="Z31" s="51"/>
      <c r="AA31" s="51"/>
      <c r="AB31" s="51"/>
      <c r="AC31" s="51"/>
      <c r="AD31" s="45"/>
      <c r="AE31" s="193" t="str">
        <f>IF(COUNT(Recovery_Helper[Recovery Index])&lt;Recoveries[[#This Row],[Index]],"",SMALL(Recovery_Helper[Recovery Index],Recoveries[[#This Row],[Index]]))</f>
        <v/>
      </c>
      <c r="AF31" s="194">
        <f>ROW()-ROW(Recoveries[[#Headers],[Index]])</f>
        <v>16</v>
      </c>
      <c r="AG31" s="211" t="b">
        <f>COUNTBLANK(Recoveries[[#This Row],[TPBE]:[Recovery Amount]])=0</f>
        <v>0</v>
      </c>
    </row>
    <row r="32" spans="10:33" ht="30" customHeight="1" x14ac:dyDescent="0.35">
      <c r="J32" s="61"/>
      <c r="K32" s="61"/>
      <c r="L32" s="170" t="str">
        <f>IF(LEN(Recoveries[[#This Row],[Lookup ID]])=0,"",INDEX(Recovery_Helper[TPBE],MATCH(Recoveries[[#This Row],[Lookup ID]],Recovery_Helper[Recovery Index],0)))</f>
        <v/>
      </c>
      <c r="M32" s="175" t="str">
        <f>IF(LEN(Recoveries[[#This Row],[Lookup ID]])=0,"",INDEX(Recovery_Helper[Functional Centre],MATCH(Recoveries[[#This Row],[Lookup ID]],Recovery_Helper[Recovery Index],0)))</f>
        <v/>
      </c>
      <c r="N32" s="60" t="str">
        <f>IF(Recoveries[[#This Row],[Lookup ID]]="","",SUMIFS(Recovery_Helper[Forecasted Surplus],Recovery_Helper[TPBE],Recoveries[[#This Row],[TPBE]],Recovery_Helper[Functional Centre],Recoveries[[#This Row],[FC]]))</f>
        <v/>
      </c>
      <c r="O32" s="60" t="str">
        <f>IF(Recoveries[[#This Row],[Lookup ID]]="","",SUMIFS(Recovery_Helper[Surplus Usage Request],Recovery_Helper[TPBE],Recoveries[[#This Row],[TPBE]],Recovery_Helper[Functional Centre],Recoveries[[#This Row],[FC]]))</f>
        <v/>
      </c>
      <c r="P32" s="171" t="str">
        <f>IF(Recoveries[[#This Row],[Lookup ID]]="","",MAX(Recoveries[[#This Row],[Forecasted Surplus]]-Recoveries[[#This Row],[Surplus Requested]],0))</f>
        <v/>
      </c>
      <c r="Q32" s="217" t="str" cm="1">
        <f t="array" ref="Q32">IF(COUNTBLANK(Recoveries[[#This Row],[TPBE]:[FC]])=0,T(INDEX(_xlfn._xlws.FILTER(Surplus[Column3],(--(Surplus[TPBE]=Recoveries[[#This Row],[TPBE]]))*(--(Surplus[Functional Centre]=Recoveries[[#This Row],[FC]]))),1)),"")</f>
        <v/>
      </c>
      <c r="R32" s="55"/>
      <c r="S32" s="51"/>
      <c r="T32" s="51"/>
      <c r="U32" s="51"/>
      <c r="V32" s="51"/>
      <c r="W32" s="51"/>
      <c r="X32" s="51"/>
      <c r="Y32" s="51"/>
      <c r="Z32" s="51"/>
      <c r="AA32" s="51"/>
      <c r="AB32" s="51"/>
      <c r="AC32" s="51"/>
      <c r="AD32" s="45"/>
      <c r="AE32" s="193" t="str">
        <f>IF(COUNT(Recovery_Helper[Recovery Index])&lt;Recoveries[[#This Row],[Index]],"",SMALL(Recovery_Helper[Recovery Index],Recoveries[[#This Row],[Index]]))</f>
        <v/>
      </c>
      <c r="AF32" s="194">
        <f>ROW()-ROW(Recoveries[[#Headers],[Index]])</f>
        <v>17</v>
      </c>
      <c r="AG32" s="211" t="b">
        <f>COUNTBLANK(Recoveries[[#This Row],[TPBE]:[Recovery Amount]])=0</f>
        <v>0</v>
      </c>
    </row>
    <row r="33" spans="10:33" ht="30" customHeight="1" x14ac:dyDescent="0.35">
      <c r="J33" s="61"/>
      <c r="K33" s="61"/>
      <c r="L33" s="170" t="str">
        <f>IF(LEN(Recoveries[[#This Row],[Lookup ID]])=0,"",INDEX(Recovery_Helper[TPBE],MATCH(Recoveries[[#This Row],[Lookup ID]],Recovery_Helper[Recovery Index],0)))</f>
        <v/>
      </c>
      <c r="M33" s="175" t="str">
        <f>IF(LEN(Recoveries[[#This Row],[Lookup ID]])=0,"",INDEX(Recovery_Helper[Functional Centre],MATCH(Recoveries[[#This Row],[Lookup ID]],Recovery_Helper[Recovery Index],0)))</f>
        <v/>
      </c>
      <c r="N33" s="60" t="str">
        <f>IF(Recoveries[[#This Row],[Lookup ID]]="","",SUMIFS(Recovery_Helper[Forecasted Surplus],Recovery_Helper[TPBE],Recoveries[[#This Row],[TPBE]],Recovery_Helper[Functional Centre],Recoveries[[#This Row],[FC]]))</f>
        <v/>
      </c>
      <c r="O33" s="60" t="str">
        <f>IF(Recoveries[[#This Row],[Lookup ID]]="","",SUMIFS(Recovery_Helper[Surplus Usage Request],Recovery_Helper[TPBE],Recoveries[[#This Row],[TPBE]],Recovery_Helper[Functional Centre],Recoveries[[#This Row],[FC]]))</f>
        <v/>
      </c>
      <c r="P33" s="171" t="str">
        <f>IF(Recoveries[[#This Row],[Lookup ID]]="","",MAX(Recoveries[[#This Row],[Forecasted Surplus]]-Recoveries[[#This Row],[Surplus Requested]],0))</f>
        <v/>
      </c>
      <c r="Q33" s="217" t="str" cm="1">
        <f t="array" ref="Q33">IF(COUNTBLANK(Recoveries[[#This Row],[TPBE]:[FC]])=0,T(INDEX(_xlfn._xlws.FILTER(Surplus[Column3],(--(Surplus[TPBE]=Recoveries[[#This Row],[TPBE]]))*(--(Surplus[Functional Centre]=Recoveries[[#This Row],[FC]]))),1)),"")</f>
        <v/>
      </c>
      <c r="R33" s="55"/>
      <c r="S33" s="51"/>
      <c r="T33" s="51"/>
      <c r="U33" s="51"/>
      <c r="V33" s="51"/>
      <c r="W33" s="51"/>
      <c r="X33" s="51"/>
      <c r="Y33" s="51"/>
      <c r="Z33" s="51"/>
      <c r="AA33" s="51"/>
      <c r="AB33" s="51"/>
      <c r="AC33" s="51"/>
      <c r="AD33" s="45"/>
      <c r="AE33" s="193" t="str">
        <f>IF(COUNT(Recovery_Helper[Recovery Index])&lt;Recoveries[[#This Row],[Index]],"",SMALL(Recovery_Helper[Recovery Index],Recoveries[[#This Row],[Index]]))</f>
        <v/>
      </c>
      <c r="AF33" s="194">
        <f>ROW()-ROW(Recoveries[[#Headers],[Index]])</f>
        <v>18</v>
      </c>
      <c r="AG33" s="211" t="b">
        <f>COUNTBLANK(Recoveries[[#This Row],[TPBE]:[Recovery Amount]])=0</f>
        <v>0</v>
      </c>
    </row>
    <row r="34" spans="10:33" ht="30" customHeight="1" x14ac:dyDescent="0.35">
      <c r="J34" s="61"/>
      <c r="K34" s="61"/>
      <c r="L34" s="170" t="str">
        <f>IF(LEN(Recoveries[[#This Row],[Lookup ID]])=0,"",INDEX(Recovery_Helper[TPBE],MATCH(Recoveries[[#This Row],[Lookup ID]],Recovery_Helper[Recovery Index],0)))</f>
        <v/>
      </c>
      <c r="M34" s="175" t="str">
        <f>IF(LEN(Recoveries[[#This Row],[Lookup ID]])=0,"",INDEX(Recovery_Helper[Functional Centre],MATCH(Recoveries[[#This Row],[Lookup ID]],Recovery_Helper[Recovery Index],0)))</f>
        <v/>
      </c>
      <c r="N34" s="60" t="str">
        <f>IF(Recoveries[[#This Row],[Lookup ID]]="","",SUMIFS(Recovery_Helper[Forecasted Surplus],Recovery_Helper[TPBE],Recoveries[[#This Row],[TPBE]],Recovery_Helper[Functional Centre],Recoveries[[#This Row],[FC]]))</f>
        <v/>
      </c>
      <c r="O34" s="60" t="str">
        <f>IF(Recoveries[[#This Row],[Lookup ID]]="","",SUMIFS(Recovery_Helper[Surplus Usage Request],Recovery_Helper[TPBE],Recoveries[[#This Row],[TPBE]],Recovery_Helper[Functional Centre],Recoveries[[#This Row],[FC]]))</f>
        <v/>
      </c>
      <c r="P34" s="171" t="str">
        <f>IF(Recoveries[[#This Row],[Lookup ID]]="","",MAX(Recoveries[[#This Row],[Forecasted Surplus]]-Recoveries[[#This Row],[Surplus Requested]],0))</f>
        <v/>
      </c>
      <c r="Q34" s="217" t="str" cm="1">
        <f t="array" ref="Q34">IF(COUNTBLANK(Recoveries[[#This Row],[TPBE]:[FC]])=0,T(INDEX(_xlfn._xlws.FILTER(Surplus[Column3],(--(Surplus[TPBE]=Recoveries[[#This Row],[TPBE]]))*(--(Surplus[Functional Centre]=Recoveries[[#This Row],[FC]]))),1)),"")</f>
        <v/>
      </c>
      <c r="R34" s="55"/>
      <c r="S34" s="51"/>
      <c r="T34" s="51"/>
      <c r="U34" s="51"/>
      <c r="V34" s="51"/>
      <c r="W34" s="51"/>
      <c r="X34" s="51"/>
      <c r="Y34" s="51"/>
      <c r="Z34" s="51"/>
      <c r="AA34" s="51"/>
      <c r="AB34" s="51"/>
      <c r="AC34" s="51"/>
      <c r="AD34" s="45"/>
      <c r="AE34" s="193" t="str">
        <f>IF(COUNT(Recovery_Helper[Recovery Index])&lt;Recoveries[[#This Row],[Index]],"",SMALL(Recovery_Helper[Recovery Index],Recoveries[[#This Row],[Index]]))</f>
        <v/>
      </c>
      <c r="AF34" s="194">
        <f>ROW()-ROW(Recoveries[[#Headers],[Index]])</f>
        <v>19</v>
      </c>
      <c r="AG34" s="211" t="b">
        <f>COUNTBLANK(Recoveries[[#This Row],[TPBE]:[Recovery Amount]])=0</f>
        <v>0</v>
      </c>
    </row>
    <row r="35" spans="10:33" ht="30" customHeight="1" x14ac:dyDescent="0.35">
      <c r="J35" s="61"/>
      <c r="K35" s="61"/>
      <c r="L35" s="170" t="str">
        <f>IF(LEN(Recoveries[[#This Row],[Lookup ID]])=0,"",INDEX(Recovery_Helper[TPBE],MATCH(Recoveries[[#This Row],[Lookup ID]],Recovery_Helper[Recovery Index],0)))</f>
        <v/>
      </c>
      <c r="M35" s="175" t="str">
        <f>IF(LEN(Recoveries[[#This Row],[Lookup ID]])=0,"",INDEX(Recovery_Helper[Functional Centre],MATCH(Recoveries[[#This Row],[Lookup ID]],Recovery_Helper[Recovery Index],0)))</f>
        <v/>
      </c>
      <c r="N35" s="60" t="str">
        <f>IF(Recoveries[[#This Row],[Lookup ID]]="","",SUMIFS(Recovery_Helper[Forecasted Surplus],Recovery_Helper[TPBE],Recoveries[[#This Row],[TPBE]],Recovery_Helper[Functional Centre],Recoveries[[#This Row],[FC]]))</f>
        <v/>
      </c>
      <c r="O35" s="60" t="str">
        <f>IF(Recoveries[[#This Row],[Lookup ID]]="","",SUMIFS(Recovery_Helper[Surplus Usage Request],Recovery_Helper[TPBE],Recoveries[[#This Row],[TPBE]],Recovery_Helper[Functional Centre],Recoveries[[#This Row],[FC]]))</f>
        <v/>
      </c>
      <c r="P35" s="171" t="str">
        <f>IF(Recoveries[[#This Row],[Lookup ID]]="","",MAX(Recoveries[[#This Row],[Forecasted Surplus]]-Recoveries[[#This Row],[Surplus Requested]],0))</f>
        <v/>
      </c>
      <c r="Q35" s="217" t="str" cm="1">
        <f t="array" ref="Q35">IF(COUNTBLANK(Recoveries[[#This Row],[TPBE]:[FC]])=0,T(INDEX(_xlfn._xlws.FILTER(Surplus[Column3],(--(Surplus[TPBE]=Recoveries[[#This Row],[TPBE]]))*(--(Surplus[Functional Centre]=Recoveries[[#This Row],[FC]]))),1)),"")</f>
        <v/>
      </c>
      <c r="R35" s="55"/>
      <c r="S35" s="51"/>
      <c r="T35" s="51"/>
      <c r="U35" s="51"/>
      <c r="V35" s="51"/>
      <c r="W35" s="51"/>
      <c r="X35" s="51"/>
      <c r="Y35" s="51"/>
      <c r="Z35" s="51"/>
      <c r="AA35" s="51"/>
      <c r="AB35" s="51"/>
      <c r="AC35" s="51"/>
      <c r="AD35" s="45"/>
      <c r="AE35" s="193" t="str">
        <f>IF(COUNT(Recovery_Helper[Recovery Index])&lt;Recoveries[[#This Row],[Index]],"",SMALL(Recovery_Helper[Recovery Index],Recoveries[[#This Row],[Index]]))</f>
        <v/>
      </c>
      <c r="AF35" s="194">
        <f>ROW()-ROW(Recoveries[[#Headers],[Index]])</f>
        <v>20</v>
      </c>
      <c r="AG35" s="211" t="b">
        <f>COUNTBLANK(Recoveries[[#This Row],[TPBE]:[Recovery Amount]])=0</f>
        <v>0</v>
      </c>
    </row>
    <row r="36" spans="10:33" ht="30" customHeight="1" x14ac:dyDescent="0.35">
      <c r="J36" s="61"/>
      <c r="K36" s="61"/>
      <c r="L36" s="170" t="str">
        <f>IF(LEN(Recoveries[[#This Row],[Lookup ID]])=0,"",INDEX(Recovery_Helper[TPBE],MATCH(Recoveries[[#This Row],[Lookup ID]],Recovery_Helper[Recovery Index],0)))</f>
        <v/>
      </c>
      <c r="M36" s="175" t="str">
        <f>IF(LEN(Recoveries[[#This Row],[Lookup ID]])=0,"",INDEX(Recovery_Helper[Functional Centre],MATCH(Recoveries[[#This Row],[Lookup ID]],Recovery_Helper[Recovery Index],0)))</f>
        <v/>
      </c>
      <c r="N36" s="60" t="str">
        <f>IF(Recoveries[[#This Row],[Lookup ID]]="","",SUMIFS(Recovery_Helper[Forecasted Surplus],Recovery_Helper[TPBE],Recoveries[[#This Row],[TPBE]],Recovery_Helper[Functional Centre],Recoveries[[#This Row],[FC]]))</f>
        <v/>
      </c>
      <c r="O36" s="60" t="str">
        <f>IF(Recoveries[[#This Row],[Lookup ID]]="","",SUMIFS(Recovery_Helper[Surplus Usage Request],Recovery_Helper[TPBE],Recoveries[[#This Row],[TPBE]],Recovery_Helper[Functional Centre],Recoveries[[#This Row],[FC]]))</f>
        <v/>
      </c>
      <c r="P36" s="171" t="str">
        <f>IF(Recoveries[[#This Row],[Lookup ID]]="","",MAX(Recoveries[[#This Row],[Forecasted Surplus]]-Recoveries[[#This Row],[Surplus Requested]],0))</f>
        <v/>
      </c>
      <c r="Q36" s="217" t="str" cm="1">
        <f t="array" ref="Q36">IF(COUNTBLANK(Recoveries[[#This Row],[TPBE]:[FC]])=0,T(INDEX(_xlfn._xlws.FILTER(Surplus[Column3],(--(Surplus[TPBE]=Recoveries[[#This Row],[TPBE]]))*(--(Surplus[Functional Centre]=Recoveries[[#This Row],[FC]]))),1)),"")</f>
        <v/>
      </c>
      <c r="R36" s="55"/>
      <c r="S36" s="51"/>
      <c r="T36" s="51"/>
      <c r="U36" s="51"/>
      <c r="V36" s="51"/>
      <c r="W36" s="51"/>
      <c r="X36" s="51"/>
      <c r="Y36" s="51"/>
      <c r="Z36" s="51"/>
      <c r="AA36" s="51"/>
      <c r="AB36" s="51"/>
      <c r="AC36" s="51"/>
      <c r="AD36" s="45"/>
      <c r="AE36" s="193" t="str">
        <f>IF(COUNT(Recovery_Helper[Recovery Index])&lt;Recoveries[[#This Row],[Index]],"",SMALL(Recovery_Helper[Recovery Index],Recoveries[[#This Row],[Index]]))</f>
        <v/>
      </c>
      <c r="AF36" s="194">
        <f>ROW()-ROW(Recoveries[[#Headers],[Index]])</f>
        <v>21</v>
      </c>
      <c r="AG36" s="211" t="b">
        <f>COUNTBLANK(Recoveries[[#This Row],[TPBE]:[Recovery Amount]])=0</f>
        <v>0</v>
      </c>
    </row>
    <row r="37" spans="10:33" ht="30" customHeight="1" x14ac:dyDescent="0.35">
      <c r="J37" s="61"/>
      <c r="K37" s="61"/>
      <c r="L37" s="170" t="str">
        <f>IF(LEN(Recoveries[[#This Row],[Lookup ID]])=0,"",INDEX(Recovery_Helper[TPBE],MATCH(Recoveries[[#This Row],[Lookup ID]],Recovery_Helper[Recovery Index],0)))</f>
        <v/>
      </c>
      <c r="M37" s="175" t="str">
        <f>IF(LEN(Recoveries[[#This Row],[Lookup ID]])=0,"",INDEX(Recovery_Helper[Functional Centre],MATCH(Recoveries[[#This Row],[Lookup ID]],Recovery_Helper[Recovery Index],0)))</f>
        <v/>
      </c>
      <c r="N37" s="60" t="str">
        <f>IF(Recoveries[[#This Row],[Lookup ID]]="","",SUMIFS(Recovery_Helper[Forecasted Surplus],Recovery_Helper[TPBE],Recoveries[[#This Row],[TPBE]],Recovery_Helper[Functional Centre],Recoveries[[#This Row],[FC]]))</f>
        <v/>
      </c>
      <c r="O37" s="60" t="str">
        <f>IF(Recoveries[[#This Row],[Lookup ID]]="","",SUMIFS(Recovery_Helper[Surplus Usage Request],Recovery_Helper[TPBE],Recoveries[[#This Row],[TPBE]],Recovery_Helper[Functional Centre],Recoveries[[#This Row],[FC]]))</f>
        <v/>
      </c>
      <c r="P37" s="171" t="str">
        <f>IF(Recoveries[[#This Row],[Lookup ID]]="","",MAX(Recoveries[[#This Row],[Forecasted Surplus]]-Recoveries[[#This Row],[Surplus Requested]],0))</f>
        <v/>
      </c>
      <c r="Q37" s="217" t="str" cm="1">
        <f t="array" ref="Q37">IF(COUNTBLANK(Recoveries[[#This Row],[TPBE]:[FC]])=0,T(INDEX(_xlfn._xlws.FILTER(Surplus[Column3],(--(Surplus[TPBE]=Recoveries[[#This Row],[TPBE]]))*(--(Surplus[Functional Centre]=Recoveries[[#This Row],[FC]]))),1)),"")</f>
        <v/>
      </c>
      <c r="R37" s="55"/>
      <c r="S37" s="51"/>
      <c r="T37" s="51"/>
      <c r="U37" s="51"/>
      <c r="V37" s="51"/>
      <c r="W37" s="51"/>
      <c r="X37" s="51"/>
      <c r="Y37" s="51"/>
      <c r="Z37" s="51"/>
      <c r="AA37" s="51"/>
      <c r="AB37" s="51"/>
      <c r="AC37" s="51"/>
      <c r="AD37" s="45"/>
      <c r="AE37" s="193" t="str">
        <f>IF(COUNT(Recovery_Helper[Recovery Index])&lt;Recoveries[[#This Row],[Index]],"",SMALL(Recovery_Helper[Recovery Index],Recoveries[[#This Row],[Index]]))</f>
        <v/>
      </c>
      <c r="AF37" s="194">
        <f>ROW()-ROW(Recoveries[[#Headers],[Index]])</f>
        <v>22</v>
      </c>
      <c r="AG37" s="211" t="b">
        <f>COUNTBLANK(Recoveries[[#This Row],[TPBE]:[Recovery Amount]])=0</f>
        <v>0</v>
      </c>
    </row>
    <row r="38" spans="10:33" ht="30" customHeight="1" x14ac:dyDescent="0.35">
      <c r="J38" s="61"/>
      <c r="K38" s="61"/>
      <c r="L38" s="170" t="str">
        <f>IF(LEN(Recoveries[[#This Row],[Lookup ID]])=0,"",INDEX(Recovery_Helper[TPBE],MATCH(Recoveries[[#This Row],[Lookup ID]],Recovery_Helper[Recovery Index],0)))</f>
        <v/>
      </c>
      <c r="M38" s="175" t="str">
        <f>IF(LEN(Recoveries[[#This Row],[Lookup ID]])=0,"",INDEX(Recovery_Helper[Functional Centre],MATCH(Recoveries[[#This Row],[Lookup ID]],Recovery_Helper[Recovery Index],0)))</f>
        <v/>
      </c>
      <c r="N38" s="60" t="str">
        <f>IF(Recoveries[[#This Row],[Lookup ID]]="","",SUMIFS(Recovery_Helper[Forecasted Surplus],Recovery_Helper[TPBE],Recoveries[[#This Row],[TPBE]],Recovery_Helper[Functional Centre],Recoveries[[#This Row],[FC]]))</f>
        <v/>
      </c>
      <c r="O38" s="60" t="str">
        <f>IF(Recoveries[[#This Row],[Lookup ID]]="","",SUMIFS(Recovery_Helper[Surplus Usage Request],Recovery_Helper[TPBE],Recoveries[[#This Row],[TPBE]],Recovery_Helper[Functional Centre],Recoveries[[#This Row],[FC]]))</f>
        <v/>
      </c>
      <c r="P38" s="171" t="str">
        <f>IF(Recoveries[[#This Row],[Lookup ID]]="","",MAX(Recoveries[[#This Row],[Forecasted Surplus]]-Recoveries[[#This Row],[Surplus Requested]],0))</f>
        <v/>
      </c>
      <c r="Q38" s="217" t="str" cm="1">
        <f t="array" ref="Q38">IF(COUNTBLANK(Recoveries[[#This Row],[TPBE]:[FC]])=0,T(INDEX(_xlfn._xlws.FILTER(Surplus[Column3],(--(Surplus[TPBE]=Recoveries[[#This Row],[TPBE]]))*(--(Surplus[Functional Centre]=Recoveries[[#This Row],[FC]]))),1)),"")</f>
        <v/>
      </c>
      <c r="R38" s="55"/>
      <c r="S38" s="51"/>
      <c r="T38" s="51"/>
      <c r="U38" s="51"/>
      <c r="V38" s="51"/>
      <c r="W38" s="51"/>
      <c r="X38" s="51"/>
      <c r="Y38" s="51"/>
      <c r="Z38" s="51"/>
      <c r="AA38" s="51"/>
      <c r="AB38" s="51"/>
      <c r="AC38" s="51"/>
      <c r="AD38" s="45"/>
      <c r="AE38" s="193" t="str">
        <f>IF(COUNT(Recovery_Helper[Recovery Index])&lt;Recoveries[[#This Row],[Index]],"",SMALL(Recovery_Helper[Recovery Index],Recoveries[[#This Row],[Index]]))</f>
        <v/>
      </c>
      <c r="AF38" s="194">
        <f>ROW()-ROW(Recoveries[[#Headers],[Index]])</f>
        <v>23</v>
      </c>
      <c r="AG38" s="211" t="b">
        <f>COUNTBLANK(Recoveries[[#This Row],[TPBE]:[Recovery Amount]])=0</f>
        <v>0</v>
      </c>
    </row>
    <row r="39" spans="10:33" ht="30" customHeight="1" thickBot="1" x14ac:dyDescent="0.4">
      <c r="J39" s="61"/>
      <c r="K39" s="61"/>
      <c r="L39" s="172" t="str">
        <f>IF(LEN(Recoveries[[#This Row],[Lookup ID]])=0,"",INDEX(Recovery_Helper[TPBE],MATCH(Recoveries[[#This Row],[Lookup ID]],Recovery_Helper[Recovery Index],0)))</f>
        <v/>
      </c>
      <c r="M39" s="176" t="str">
        <f>IF(LEN(Recoveries[[#This Row],[Lookup ID]])=0,"",INDEX(Recovery_Helper[Functional Centre],MATCH(Recoveries[[#This Row],[Lookup ID]],Recovery_Helper[Recovery Index],0)))</f>
        <v/>
      </c>
      <c r="N39" s="165" t="str">
        <f>IF(Recoveries[[#This Row],[Lookup ID]]="","",SUMIFS(Recovery_Helper[Forecasted Surplus],Recovery_Helper[TPBE],Recoveries[[#This Row],[TPBE]],Recovery_Helper[Functional Centre],Recoveries[[#This Row],[FC]]))</f>
        <v/>
      </c>
      <c r="O39" s="165" t="str">
        <f>IF(Recoveries[[#This Row],[Lookup ID]]="","",SUMIFS(Recovery_Helper[Surplus Usage Request],Recovery_Helper[TPBE],Recoveries[[#This Row],[TPBE]],Recovery_Helper[Functional Centre],Recoveries[[#This Row],[FC]]))</f>
        <v/>
      </c>
      <c r="P39" s="173" t="str">
        <f>IF(Recoveries[[#This Row],[Lookup ID]]="","",MAX(Recoveries[[#This Row],[Forecasted Surplus]]-Recoveries[[#This Row],[Surplus Requested]],0))</f>
        <v/>
      </c>
      <c r="Q39" s="218" t="str" cm="1">
        <f t="array" ref="Q39">IF(COUNTBLANK(Recoveries[[#This Row],[TPBE]:[FC]])=0,T(INDEX(_xlfn._xlws.FILTER(Surplus[Column3],(--(Surplus[TPBE]=Recoveries[[#This Row],[TPBE]]))*(--(Surplus[Functional Centre]=Recoveries[[#This Row],[FC]]))),1)),"")</f>
        <v/>
      </c>
      <c r="R39" s="166"/>
      <c r="S39" s="167"/>
      <c r="T39" s="167"/>
      <c r="U39" s="167"/>
      <c r="V39" s="167"/>
      <c r="W39" s="167"/>
      <c r="X39" s="167"/>
      <c r="Y39" s="167"/>
      <c r="Z39" s="167"/>
      <c r="AA39" s="167"/>
      <c r="AB39" s="167"/>
      <c r="AC39" s="167"/>
      <c r="AD39" s="196"/>
      <c r="AE39" s="193" t="str">
        <f>IF(COUNT(Recovery_Helper[Recovery Index])&lt;Recoveries[[#This Row],[Index]],"",SMALL(Recovery_Helper[Recovery Index],Recoveries[[#This Row],[Index]]))</f>
        <v/>
      </c>
      <c r="AF39" s="194">
        <f>ROW()-ROW(Recoveries[[#Headers],[Index]])</f>
        <v>24</v>
      </c>
      <c r="AG39" s="211" t="b">
        <f>COUNTBLANK(Recoveries[[#This Row],[TPBE]:[Recovery Amount]])=0</f>
        <v>0</v>
      </c>
    </row>
    <row r="40" spans="10:33" ht="15" thickBot="1" x14ac:dyDescent="0.4">
      <c r="J40" s="61"/>
      <c r="K40" s="61"/>
      <c r="L40" s="187" t="s">
        <v>163</v>
      </c>
      <c r="M40" s="188"/>
      <c r="N40" s="182">
        <f>SUBTOTAL(109,Recoveries[Forecasted Surplus])</f>
        <v>0</v>
      </c>
      <c r="O40" s="182">
        <f>SUBTOTAL(109,Recoveries[Surplus Requested])</f>
        <v>0</v>
      </c>
      <c r="P40" s="205">
        <f>SUBTOTAL(109,Recoveries[Recovery Amount])</f>
        <v>0</v>
      </c>
      <c r="Q40" s="189"/>
      <c r="R40" s="186"/>
      <c r="S40" s="186"/>
      <c r="T40" s="186"/>
      <c r="U40" s="186"/>
      <c r="V40" s="186"/>
      <c r="W40" s="186"/>
      <c r="X40" s="186"/>
      <c r="Y40" s="186"/>
      <c r="Z40" s="186"/>
      <c r="AA40" s="186"/>
      <c r="AB40" s="186"/>
      <c r="AC40" s="186"/>
      <c r="AD40" s="190">
        <f>SUBTOTAL(103,Recoveries[MHS])</f>
        <v>0</v>
      </c>
      <c r="AE40" s="191"/>
      <c r="AF40" s="181"/>
    </row>
    <row r="41" spans="10:33" x14ac:dyDescent="0.35">
      <c r="J41" s="61"/>
      <c r="K41" s="61"/>
      <c r="L41" s="11"/>
      <c r="M41" s="47"/>
      <c r="N41" s="11"/>
      <c r="O41" s="162"/>
      <c r="P41" s="162"/>
      <c r="Q41" s="162"/>
      <c r="R41" s="163"/>
      <c r="S41" s="163"/>
      <c r="T41" s="164"/>
      <c r="U41" s="156"/>
      <c r="V41" s="156"/>
      <c r="W41" s="156"/>
      <c r="X41" s="156"/>
      <c r="Y41" s="156"/>
      <c r="Z41" s="156"/>
      <c r="AA41" s="156"/>
      <c r="AB41" s="156"/>
      <c r="AC41" s="156"/>
      <c r="AD41" s="156"/>
      <c r="AE41" s="156"/>
      <c r="AF41" s="156"/>
    </row>
    <row r="42" spans="10:33" x14ac:dyDescent="0.35">
      <c r="J42" s="61"/>
      <c r="K42" s="61"/>
      <c r="L42" s="11"/>
      <c r="M42" s="47"/>
      <c r="N42" t="s">
        <v>180</v>
      </c>
      <c r="O42" s="162"/>
      <c r="P42" s="162"/>
      <c r="Q42" s="162"/>
      <c r="R42" s="163"/>
      <c r="S42" s="163"/>
      <c r="T42" s="164"/>
      <c r="U42" s="156"/>
      <c r="V42" s="156"/>
      <c r="W42" s="156"/>
      <c r="X42" s="156"/>
      <c r="Y42" s="156"/>
      <c r="Z42" s="156"/>
      <c r="AA42" s="156"/>
      <c r="AB42" s="156"/>
      <c r="AC42" s="156"/>
      <c r="AD42" s="156"/>
      <c r="AE42" s="156"/>
      <c r="AF42" s="156"/>
    </row>
    <row r="43" spans="10:33" x14ac:dyDescent="0.35">
      <c r="J43" s="61"/>
      <c r="K43" s="61"/>
      <c r="L43" s="11"/>
      <c r="M43" s="47"/>
      <c r="N43" s="11"/>
      <c r="O43" s="162"/>
      <c r="P43" s="162"/>
      <c r="Q43" s="162"/>
      <c r="R43" s="163"/>
      <c r="S43" s="163"/>
      <c r="T43" s="164"/>
      <c r="U43" s="156"/>
      <c r="V43" s="156"/>
      <c r="W43" s="156"/>
      <c r="X43" s="156"/>
      <c r="Y43" s="156"/>
      <c r="Z43" s="156"/>
      <c r="AA43" s="156"/>
      <c r="AB43" s="156"/>
      <c r="AC43" s="156"/>
      <c r="AD43" s="156"/>
      <c r="AE43" s="156"/>
      <c r="AF43" s="156"/>
    </row>
    <row r="44" spans="10:33" ht="29" hidden="1" outlineLevel="1" x14ac:dyDescent="0.35">
      <c r="J44" s="61"/>
      <c r="K44" s="61"/>
      <c r="L44" s="37" t="s">
        <v>181</v>
      </c>
      <c r="M44" s="37" t="s">
        <v>46</v>
      </c>
      <c r="N44" s="37" t="s">
        <v>77</v>
      </c>
      <c r="O44" s="37" t="s">
        <v>78</v>
      </c>
      <c r="P44" s="37" t="s">
        <v>7</v>
      </c>
      <c r="Q44" s="37" t="s">
        <v>182</v>
      </c>
      <c r="R44" s="37" t="s">
        <v>183</v>
      </c>
      <c r="S44" s="37" t="s">
        <v>184</v>
      </c>
      <c r="T44" s="37" t="s">
        <v>185</v>
      </c>
      <c r="U44" s="37" t="s">
        <v>186</v>
      </c>
      <c r="V44" s="37" t="s">
        <v>187</v>
      </c>
      <c r="W44" s="37"/>
      <c r="X44" s="37"/>
      <c r="Y44" s="37"/>
      <c r="Z44" s="37"/>
      <c r="AA44" s="37"/>
      <c r="AB44" s="37"/>
      <c r="AC44" s="37"/>
      <c r="AD44" s="37"/>
      <c r="AE44" s="37"/>
    </row>
    <row r="45" spans="10:33" hidden="1" outlineLevel="1" x14ac:dyDescent="0.35">
      <c r="J45" s="61"/>
      <c r="K45" s="61"/>
      <c r="L45" s="22" t="b">
        <f>Recovery_Helper[[#This Row],[Index]]&lt;=Count_Recoveries_New</f>
        <v>0</v>
      </c>
      <c r="M45">
        <f>ROW()-ROW(Recovery_Helper[[#Headers],[Index]])</f>
        <v>1</v>
      </c>
      <c r="N45" t="str">
        <f>IF(Recovery_Helper[[#This Row],[Check Line]],T(INDEX(CHOOSE(Recovery_Helper[[#This Row],[Table]],Surplus[TPBE],Requests[TPBE]),Recovery_Helper[[#This Row],[Table Unique Index]])),"")</f>
        <v/>
      </c>
      <c r="O45" t="str">
        <f>IF(Recovery_Helper[[#This Row],[Check Line]],T(INDEX(CHOOSE(Recovery_Helper[[#This Row],[Table]],Surplus[Functional Centre],Requests[FC]),Recovery_Helper[[#This Row],[Table Unique Index]])),"")</f>
        <v/>
      </c>
      <c r="P45" s="22">
        <f>SUMIFS(Surplus[Surplus],Surplus[TPBE],Recovery_Helper[[#This Row],[TPBE]],Surplus[Functional Centre],Recovery_Helper[[#This Row],[Functional Centre]])</f>
        <v>0</v>
      </c>
      <c r="Q45" s="22">
        <f>IF(Recovery_Helper[[#This Row],[Check Line]],IF(COUNTBLANK(Recovery_Helper[[#This Row],[TPBE]:[Functional Centre]])=0,-1*SUMIFS(Requests[Adj. Amount],Requests[TPBE],Recovery_Helper[[#This Row],[TPBE]],Requests[FC],Recovery_Helper[[#This Row],[Functional Centre]],Requests[Adj. Amount],"&lt;0"),0),0)</f>
        <v>0</v>
      </c>
      <c r="R45" s="22">
        <f>Recovery_Helper[[#This Row],[Forecasted Surplus]]-Recovery_Helper[[#This Row],[Surplus Usage Request]]</f>
        <v>0</v>
      </c>
      <c r="S45" s="33" t="str">
        <f>IF(Recovery_Helper[[#This Row],[Check Line]],Recovery_Helper[[#This Row],[Index]],"")</f>
        <v/>
      </c>
      <c r="T45" s="41" t="str">
        <f>IF(Recovery_Helper[[#This Row],[Check Line]],IF(Recovery_Helper[[#This Row],[Index]]&lt;=Surplus[[#Totals],[Add to Recoveries]],1,2),"")</f>
        <v/>
      </c>
      <c r="U45" s="41" t="str">
        <f>IF(Recovery_Helper[[#This Row],[Check Line]],COUNTIFS(Recovery_Helper[Table],Recovery_Helper[[#This Row],[Table]],Recovery_Helper[Index],"&lt;="&amp;Recovery_Helper[[#This Row],[Index]]),"")</f>
        <v/>
      </c>
      <c r="V45" s="41" t="str">
        <f>IF(Recovery_Helper[[#This Row],[Check Line]],SMALL(CHOOSE(Recovery_Helper[[#This Row],[Table]],Surplus[Add to Recoveries],Requests[Reallocation Type]),Recovery_Helper[[#This Row],[Table Index]]),"")</f>
        <v/>
      </c>
    </row>
    <row r="46" spans="10:33" hidden="1" outlineLevel="1" x14ac:dyDescent="0.35">
      <c r="J46" s="61"/>
      <c r="K46" s="61"/>
      <c r="L46" s="22" t="b">
        <f>Recovery_Helper[[#This Row],[Index]]&lt;=Count_Recoveries_New</f>
        <v>0</v>
      </c>
      <c r="M46">
        <f>ROW()-ROW(Recovery_Helper[[#Headers],[Index]])</f>
        <v>2</v>
      </c>
      <c r="N46" t="str">
        <f>IF(Recovery_Helper[[#This Row],[Check Line]],T(INDEX(CHOOSE(Recovery_Helper[[#This Row],[Table]],Surplus[TPBE],Requests[TPBE]),Recovery_Helper[[#This Row],[Table Unique Index]])),"")</f>
        <v/>
      </c>
      <c r="O46" t="str">
        <f>IF(Recovery_Helper[[#This Row],[Check Line]],T(INDEX(CHOOSE(Recovery_Helper[[#This Row],[Table]],Surplus[Functional Centre],Requests[FC]),Recovery_Helper[[#This Row],[Table Unique Index]])),"")</f>
        <v/>
      </c>
      <c r="P46" s="22">
        <f>SUMIFS(Surplus[Surplus],Surplus[TPBE],Recovery_Helper[[#This Row],[TPBE]],Surplus[Functional Centre],Recovery_Helper[[#This Row],[Functional Centre]])</f>
        <v>0</v>
      </c>
      <c r="Q46" s="22">
        <f>IF(Recovery_Helper[[#This Row],[Check Line]],IF(COUNTBLANK(Recovery_Helper[[#This Row],[TPBE]:[Functional Centre]])=0,-1*SUMIFS(Requests[Adj. Amount],Requests[TPBE],Recovery_Helper[[#This Row],[TPBE]],Requests[FC],Recovery_Helper[[#This Row],[Functional Centre]],Requests[Adj. Amount],"&lt;0"),0),0)</f>
        <v>0</v>
      </c>
      <c r="R46" s="22">
        <f>Recovery_Helper[[#This Row],[Forecasted Surplus]]-Recovery_Helper[[#This Row],[Surplus Usage Request]]</f>
        <v>0</v>
      </c>
      <c r="S46" s="33" t="str">
        <f>IF(Recovery_Helper[[#This Row],[Check Line]],Recovery_Helper[[#This Row],[Index]],"")</f>
        <v/>
      </c>
      <c r="T46" s="41" t="str">
        <f>IF(Recovery_Helper[[#This Row],[Check Line]],IF(Recovery_Helper[[#This Row],[Index]]&lt;=Surplus[[#Totals],[Add to Recoveries]],1,2),"")</f>
        <v/>
      </c>
      <c r="U46" s="41" t="str">
        <f>IF(Recovery_Helper[[#This Row],[Check Line]],COUNTIFS(Recovery_Helper[Table],Recovery_Helper[[#This Row],[Table]],Recovery_Helper[Index],"&lt;="&amp;Recovery_Helper[[#This Row],[Index]]),"")</f>
        <v/>
      </c>
      <c r="V46" s="41" t="str">
        <f>IF(Recovery_Helper[[#This Row],[Check Line]],SMALL(CHOOSE(Recovery_Helper[[#This Row],[Table]],Surplus[Add to Recoveries],Requests[Reallocation Type]),Recovery_Helper[[#This Row],[Table Index]]),"")</f>
        <v/>
      </c>
    </row>
    <row r="47" spans="10:33" hidden="1" outlineLevel="1" x14ac:dyDescent="0.35">
      <c r="J47" s="61"/>
      <c r="K47" s="61"/>
      <c r="L47" s="22" t="b">
        <f>Recovery_Helper[[#This Row],[Index]]&lt;=Count_Recoveries_New</f>
        <v>0</v>
      </c>
      <c r="M47">
        <f>ROW()-ROW(Recovery_Helper[[#Headers],[Index]])</f>
        <v>3</v>
      </c>
      <c r="N47" t="str">
        <f>IF(Recovery_Helper[[#This Row],[Check Line]],T(INDEX(CHOOSE(Recovery_Helper[[#This Row],[Table]],Surplus[TPBE],Requests[TPBE]),Recovery_Helper[[#This Row],[Table Unique Index]])),"")</f>
        <v/>
      </c>
      <c r="O47" t="str">
        <f>IF(Recovery_Helper[[#This Row],[Check Line]],T(INDEX(CHOOSE(Recovery_Helper[[#This Row],[Table]],Surplus[Functional Centre],Requests[FC]),Recovery_Helper[[#This Row],[Table Unique Index]])),"")</f>
        <v/>
      </c>
      <c r="P47" s="22">
        <f>SUMIFS(Surplus[Surplus],Surplus[TPBE],Recovery_Helper[[#This Row],[TPBE]],Surplus[Functional Centre],Recovery_Helper[[#This Row],[Functional Centre]])</f>
        <v>0</v>
      </c>
      <c r="Q47" s="22">
        <f>IF(Recovery_Helper[[#This Row],[Check Line]],IF(COUNTBLANK(Recovery_Helper[[#This Row],[TPBE]:[Functional Centre]])=0,-1*SUMIFS(Requests[Adj. Amount],Requests[TPBE],Recovery_Helper[[#This Row],[TPBE]],Requests[FC],Recovery_Helper[[#This Row],[Functional Centre]],Requests[Adj. Amount],"&lt;0"),0),0)</f>
        <v>0</v>
      </c>
      <c r="R47" s="22">
        <f>Recovery_Helper[[#This Row],[Forecasted Surplus]]-Recovery_Helper[[#This Row],[Surplus Usage Request]]</f>
        <v>0</v>
      </c>
      <c r="S47" s="33" t="str">
        <f>IF(Recovery_Helper[[#This Row],[Check Line]],Recovery_Helper[[#This Row],[Index]],"")</f>
        <v/>
      </c>
      <c r="T47" s="41" t="str">
        <f>IF(Recovery_Helper[[#This Row],[Check Line]],IF(Recovery_Helper[[#This Row],[Index]]&lt;=Surplus[[#Totals],[Add to Recoveries]],1,2),"")</f>
        <v/>
      </c>
      <c r="U47" s="41" t="str">
        <f>IF(Recovery_Helper[[#This Row],[Check Line]],COUNTIFS(Recovery_Helper[Table],Recovery_Helper[[#This Row],[Table]],Recovery_Helper[Index],"&lt;="&amp;Recovery_Helper[[#This Row],[Index]]),"")</f>
        <v/>
      </c>
      <c r="V47" s="41" t="str">
        <f>IF(Recovery_Helper[[#This Row],[Check Line]],SMALL(CHOOSE(Recovery_Helper[[#This Row],[Table]],Surplus[Add to Recoveries],Requests[Reallocation Type]),Recovery_Helper[[#This Row],[Table Index]]),"")</f>
        <v/>
      </c>
    </row>
    <row r="48" spans="10:33" hidden="1" outlineLevel="1" x14ac:dyDescent="0.35">
      <c r="J48" s="61"/>
      <c r="K48" s="61"/>
      <c r="L48" s="22" t="b">
        <f>Recovery_Helper[[#This Row],[Index]]&lt;=Count_Recoveries_New</f>
        <v>0</v>
      </c>
      <c r="M48">
        <f>ROW()-ROW(Recovery_Helper[[#Headers],[Index]])</f>
        <v>4</v>
      </c>
      <c r="N48" t="str">
        <f>IF(Recovery_Helper[[#This Row],[Check Line]],T(INDEX(CHOOSE(Recovery_Helper[[#This Row],[Table]],Surplus[TPBE],Requests[TPBE]),Recovery_Helper[[#This Row],[Table Unique Index]])),"")</f>
        <v/>
      </c>
      <c r="O48" t="str">
        <f>IF(Recovery_Helper[[#This Row],[Check Line]],T(INDEX(CHOOSE(Recovery_Helper[[#This Row],[Table]],Surplus[Functional Centre],Requests[FC]),Recovery_Helper[[#This Row],[Table Unique Index]])),"")</f>
        <v/>
      </c>
      <c r="P48" s="22">
        <f>SUMIFS(Surplus[Surplus],Surplus[TPBE],Recovery_Helper[[#This Row],[TPBE]],Surplus[Functional Centre],Recovery_Helper[[#This Row],[Functional Centre]])</f>
        <v>0</v>
      </c>
      <c r="Q48" s="22">
        <f>IF(Recovery_Helper[[#This Row],[Check Line]],IF(COUNTBLANK(Recovery_Helper[[#This Row],[TPBE]:[Functional Centre]])=0,-1*SUMIFS(Requests[Adj. Amount],Requests[TPBE],Recovery_Helper[[#This Row],[TPBE]],Requests[FC],Recovery_Helper[[#This Row],[Functional Centre]],Requests[Adj. Amount],"&lt;0"),0),0)</f>
        <v>0</v>
      </c>
      <c r="R48" s="22">
        <f>Recovery_Helper[[#This Row],[Forecasted Surplus]]-Recovery_Helper[[#This Row],[Surplus Usage Request]]</f>
        <v>0</v>
      </c>
      <c r="S48" s="33" t="str">
        <f>IF(Recovery_Helper[[#This Row],[Check Line]],Recovery_Helper[[#This Row],[Index]],"")</f>
        <v/>
      </c>
      <c r="T48" s="41" t="str">
        <f>IF(Recovery_Helper[[#This Row],[Check Line]],IF(Recovery_Helper[[#This Row],[Index]]&lt;=Surplus[[#Totals],[Add to Recoveries]],1,2),"")</f>
        <v/>
      </c>
      <c r="U48" s="41" t="str">
        <f>IF(Recovery_Helper[[#This Row],[Check Line]],COUNTIFS(Recovery_Helper[Table],Recovery_Helper[[#This Row],[Table]],Recovery_Helper[Index],"&lt;="&amp;Recovery_Helper[[#This Row],[Index]]),"")</f>
        <v/>
      </c>
      <c r="V48" s="41" t="str">
        <f>IF(Recovery_Helper[[#This Row],[Check Line]],SMALL(CHOOSE(Recovery_Helper[[#This Row],[Table]],Surplus[Add to Recoveries],Requests[Reallocation Type]),Recovery_Helper[[#This Row],[Table Index]]),"")</f>
        <v/>
      </c>
    </row>
    <row r="49" spans="1:32" hidden="1" outlineLevel="1" x14ac:dyDescent="0.35">
      <c r="B49" s="37"/>
      <c r="C49" s="37"/>
      <c r="D49" s="37"/>
      <c r="E49" s="37"/>
      <c r="J49" s="61"/>
      <c r="K49" s="61"/>
      <c r="L49" s="22" t="b">
        <f>Recovery_Helper[[#This Row],[Index]]&lt;=Count_Recoveries_New</f>
        <v>0</v>
      </c>
      <c r="M49">
        <f>ROW()-ROW(Recovery_Helper[[#Headers],[Index]])</f>
        <v>5</v>
      </c>
      <c r="N49" t="str">
        <f>IF(Recovery_Helper[[#This Row],[Check Line]],T(INDEX(CHOOSE(Recovery_Helper[[#This Row],[Table]],Surplus[TPBE],Requests[TPBE]),Recovery_Helper[[#This Row],[Table Unique Index]])),"")</f>
        <v/>
      </c>
      <c r="O49" t="str">
        <f>IF(Recovery_Helper[[#This Row],[Check Line]],T(INDEX(CHOOSE(Recovery_Helper[[#This Row],[Table]],Surplus[Functional Centre],Requests[FC]),Recovery_Helper[[#This Row],[Table Unique Index]])),"")</f>
        <v/>
      </c>
      <c r="P49" s="22">
        <f>SUMIFS(Surplus[Surplus],Surplus[TPBE],Recovery_Helper[[#This Row],[TPBE]],Surplus[Functional Centre],Recovery_Helper[[#This Row],[Functional Centre]])</f>
        <v>0</v>
      </c>
      <c r="Q49" s="22">
        <f>IF(Recovery_Helper[[#This Row],[Check Line]],IF(COUNTBLANK(Recovery_Helper[[#This Row],[TPBE]:[Functional Centre]])=0,-1*SUMIFS(Requests[Adj. Amount],Requests[TPBE],Recovery_Helper[[#This Row],[TPBE]],Requests[FC],Recovery_Helper[[#This Row],[Functional Centre]],Requests[Adj. Amount],"&lt;0"),0),0)</f>
        <v>0</v>
      </c>
      <c r="R49" s="22">
        <f>Recovery_Helper[[#This Row],[Forecasted Surplus]]-Recovery_Helper[[#This Row],[Surplus Usage Request]]</f>
        <v>0</v>
      </c>
      <c r="S49" s="33" t="str">
        <f>IF(Recovery_Helper[[#This Row],[Check Line]],Recovery_Helper[[#This Row],[Index]],"")</f>
        <v/>
      </c>
      <c r="T49" s="41" t="str">
        <f>IF(Recovery_Helper[[#This Row],[Check Line]],IF(Recovery_Helper[[#This Row],[Index]]&lt;=Surplus[[#Totals],[Add to Recoveries]],1,2),"")</f>
        <v/>
      </c>
      <c r="U49" s="41" t="str">
        <f>IF(Recovery_Helper[[#This Row],[Check Line]],COUNTIFS(Recovery_Helper[Table],Recovery_Helper[[#This Row],[Table]],Recovery_Helper[Index],"&lt;="&amp;Recovery_Helper[[#This Row],[Index]]),"")</f>
        <v/>
      </c>
      <c r="V49" s="41" t="str">
        <f>IF(Recovery_Helper[[#This Row],[Check Line]],SMALL(CHOOSE(Recovery_Helper[[#This Row],[Table]],Surplus[Add to Recoveries],Requests[Reallocation Type]),Recovery_Helper[[#This Row],[Table Index]]),"")</f>
        <v/>
      </c>
    </row>
    <row r="50" spans="1:32" hidden="1" outlineLevel="1" x14ac:dyDescent="0.35">
      <c r="J50" s="61"/>
      <c r="K50" s="61"/>
      <c r="L50" s="22" t="b">
        <f>Recovery_Helper[[#This Row],[Index]]&lt;=Count_Recoveries_New</f>
        <v>0</v>
      </c>
      <c r="M50">
        <f>ROW()-ROW(Recovery_Helper[[#Headers],[Index]])</f>
        <v>6</v>
      </c>
      <c r="N50" t="str">
        <f>IF(Recovery_Helper[[#This Row],[Check Line]],T(INDEX(CHOOSE(Recovery_Helper[[#This Row],[Table]],Surplus[TPBE],Requests[TPBE]),Recovery_Helper[[#This Row],[Table Unique Index]])),"")</f>
        <v/>
      </c>
      <c r="O50" t="str">
        <f>IF(Recovery_Helper[[#This Row],[Check Line]],T(INDEX(CHOOSE(Recovery_Helper[[#This Row],[Table]],Surplus[Functional Centre],Requests[FC]),Recovery_Helper[[#This Row],[Table Unique Index]])),"")</f>
        <v/>
      </c>
      <c r="P50" s="22">
        <f>SUMIFS(Surplus[Surplus],Surplus[TPBE],Recovery_Helper[[#This Row],[TPBE]],Surplus[Functional Centre],Recovery_Helper[[#This Row],[Functional Centre]])</f>
        <v>0</v>
      </c>
      <c r="Q50" s="22">
        <f>IF(Recovery_Helper[[#This Row],[Check Line]],IF(COUNTBLANK(Recovery_Helper[[#This Row],[TPBE]:[Functional Centre]])=0,-1*SUMIFS(Requests[Adj. Amount],Requests[TPBE],Recovery_Helper[[#This Row],[TPBE]],Requests[FC],Recovery_Helper[[#This Row],[Functional Centre]],Requests[Adj. Amount],"&lt;0"),0),0)</f>
        <v>0</v>
      </c>
      <c r="R50" s="22">
        <f>Recovery_Helper[[#This Row],[Forecasted Surplus]]-Recovery_Helper[[#This Row],[Surplus Usage Request]]</f>
        <v>0</v>
      </c>
      <c r="S50" s="33" t="str">
        <f>IF(Recovery_Helper[[#This Row],[Check Line]],Recovery_Helper[[#This Row],[Index]],"")</f>
        <v/>
      </c>
      <c r="T50" s="41" t="str">
        <f>IF(Recovery_Helper[[#This Row],[Check Line]],IF(Recovery_Helper[[#This Row],[Index]]&lt;=Surplus[[#Totals],[Add to Recoveries]],1,2),"")</f>
        <v/>
      </c>
      <c r="U50" s="41" t="str">
        <f>IF(Recovery_Helper[[#This Row],[Check Line]],COUNTIFS(Recovery_Helper[Table],Recovery_Helper[[#This Row],[Table]],Recovery_Helper[Index],"&lt;="&amp;Recovery_Helper[[#This Row],[Index]]),"")</f>
        <v/>
      </c>
      <c r="V50" s="41" t="str">
        <f>IF(Recovery_Helper[[#This Row],[Check Line]],SMALL(CHOOSE(Recovery_Helper[[#This Row],[Table]],Surplus[Add to Recoveries],Requests[Reallocation Type]),Recovery_Helper[[#This Row],[Table Index]]),"")</f>
        <v/>
      </c>
    </row>
    <row r="51" spans="1:32" hidden="1" outlineLevel="1" x14ac:dyDescent="0.35">
      <c r="J51" s="61"/>
      <c r="K51" s="61"/>
      <c r="L51" s="22" t="b">
        <f>Recovery_Helper[[#This Row],[Index]]&lt;=Count_Recoveries_New</f>
        <v>0</v>
      </c>
      <c r="M51">
        <f>ROW()-ROW(Recovery_Helper[[#Headers],[Index]])</f>
        <v>7</v>
      </c>
      <c r="N51" t="str">
        <f>IF(Recovery_Helper[[#This Row],[Check Line]],T(INDEX(CHOOSE(Recovery_Helper[[#This Row],[Table]],Surplus[TPBE],Requests[TPBE]),Recovery_Helper[[#This Row],[Table Unique Index]])),"")</f>
        <v/>
      </c>
      <c r="O51" t="str">
        <f>IF(Recovery_Helper[[#This Row],[Check Line]],T(INDEX(CHOOSE(Recovery_Helper[[#This Row],[Table]],Surplus[Functional Centre],Requests[FC]),Recovery_Helper[[#This Row],[Table Unique Index]])),"")</f>
        <v/>
      </c>
      <c r="P51" s="22">
        <f>SUMIFS(Surplus[Surplus],Surplus[TPBE],Recovery_Helper[[#This Row],[TPBE]],Surplus[Functional Centre],Recovery_Helper[[#This Row],[Functional Centre]])</f>
        <v>0</v>
      </c>
      <c r="Q51" s="22">
        <f>IF(Recovery_Helper[[#This Row],[Check Line]],IF(COUNTBLANK(Recovery_Helper[[#This Row],[TPBE]:[Functional Centre]])=0,-1*SUMIFS(Requests[Adj. Amount],Requests[TPBE],Recovery_Helper[[#This Row],[TPBE]],Requests[FC],Recovery_Helper[[#This Row],[Functional Centre]],Requests[Adj. Amount],"&lt;0"),0),0)</f>
        <v>0</v>
      </c>
      <c r="R51" s="22">
        <f>Recovery_Helper[[#This Row],[Forecasted Surplus]]-Recovery_Helper[[#This Row],[Surplus Usage Request]]</f>
        <v>0</v>
      </c>
      <c r="S51" s="33" t="str">
        <f>IF(Recovery_Helper[[#This Row],[Check Line]],Recovery_Helper[[#This Row],[Index]],"")</f>
        <v/>
      </c>
      <c r="T51" s="41" t="str">
        <f>IF(Recovery_Helper[[#This Row],[Check Line]],IF(Recovery_Helper[[#This Row],[Index]]&lt;=Surplus[[#Totals],[Add to Recoveries]],1,2),"")</f>
        <v/>
      </c>
      <c r="U51" s="41" t="str">
        <f>IF(Recovery_Helper[[#This Row],[Check Line]],COUNTIFS(Recovery_Helper[Table],Recovery_Helper[[#This Row],[Table]],Recovery_Helper[Index],"&lt;="&amp;Recovery_Helper[[#This Row],[Index]]),"")</f>
        <v/>
      </c>
      <c r="V51" s="41" t="str">
        <f>IF(Recovery_Helper[[#This Row],[Check Line]],SMALL(CHOOSE(Recovery_Helper[[#This Row],[Table]],Surplus[Add to Recoveries],Requests[Reallocation Type]),Recovery_Helper[[#This Row],[Table Index]]),"")</f>
        <v/>
      </c>
    </row>
    <row r="52" spans="1:32" hidden="1" outlineLevel="1" x14ac:dyDescent="0.35">
      <c r="J52" s="61"/>
      <c r="K52" s="61"/>
      <c r="L52" s="22" t="b">
        <f>Recovery_Helper[[#This Row],[Index]]&lt;=Count_Recoveries_New</f>
        <v>0</v>
      </c>
      <c r="M52">
        <f>ROW()-ROW(Recovery_Helper[[#Headers],[Index]])</f>
        <v>8</v>
      </c>
      <c r="N52" t="str">
        <f>IF(Recovery_Helper[[#This Row],[Check Line]],T(INDEX(CHOOSE(Recovery_Helper[[#This Row],[Table]],Surplus[TPBE],Requests[TPBE]),Recovery_Helper[[#This Row],[Table Unique Index]])),"")</f>
        <v/>
      </c>
      <c r="O52" t="str">
        <f>IF(Recovery_Helper[[#This Row],[Check Line]],T(INDEX(CHOOSE(Recovery_Helper[[#This Row],[Table]],Surplus[Functional Centre],Requests[FC]),Recovery_Helper[[#This Row],[Table Unique Index]])),"")</f>
        <v/>
      </c>
      <c r="P52" s="22">
        <f>SUMIFS(Surplus[Surplus],Surplus[TPBE],Recovery_Helper[[#This Row],[TPBE]],Surplus[Functional Centre],Recovery_Helper[[#This Row],[Functional Centre]])</f>
        <v>0</v>
      </c>
      <c r="Q52" s="22">
        <f>IF(Recovery_Helper[[#This Row],[Check Line]],IF(COUNTBLANK(Recovery_Helper[[#This Row],[TPBE]:[Functional Centre]])=0,-1*SUMIFS(Requests[Adj. Amount],Requests[TPBE],Recovery_Helper[[#This Row],[TPBE]],Requests[FC],Recovery_Helper[[#This Row],[Functional Centre]],Requests[Adj. Amount],"&lt;0"),0),0)</f>
        <v>0</v>
      </c>
      <c r="R52" s="22">
        <f>Recovery_Helper[[#This Row],[Forecasted Surplus]]-Recovery_Helper[[#This Row],[Surplus Usage Request]]</f>
        <v>0</v>
      </c>
      <c r="S52" s="33" t="str">
        <f>IF(Recovery_Helper[[#This Row],[Check Line]],Recovery_Helper[[#This Row],[Index]],"")</f>
        <v/>
      </c>
      <c r="T52" s="41" t="str">
        <f>IF(Recovery_Helper[[#This Row],[Check Line]],IF(Recovery_Helper[[#This Row],[Index]]&lt;=Surplus[[#Totals],[Add to Recoveries]],1,2),"")</f>
        <v/>
      </c>
      <c r="U52" s="41" t="str">
        <f>IF(Recovery_Helper[[#This Row],[Check Line]],COUNTIFS(Recovery_Helper[Table],Recovery_Helper[[#This Row],[Table]],Recovery_Helper[Index],"&lt;="&amp;Recovery_Helper[[#This Row],[Index]]),"")</f>
        <v/>
      </c>
      <c r="V52" s="41" t="str">
        <f>IF(Recovery_Helper[[#This Row],[Check Line]],SMALL(CHOOSE(Recovery_Helper[[#This Row],[Table]],Surplus[Add to Recoveries],Requests[Reallocation Type]),Recovery_Helper[[#This Row],[Table Index]]),"")</f>
        <v/>
      </c>
    </row>
    <row r="53" spans="1:32" hidden="1" outlineLevel="1" x14ac:dyDescent="0.35">
      <c r="L53" s="22" t="b">
        <f>Recovery_Helper[[#This Row],[Index]]&lt;=Count_Recoveries_New</f>
        <v>0</v>
      </c>
      <c r="M53">
        <f>ROW()-ROW(Recovery_Helper[[#Headers],[Index]])</f>
        <v>9</v>
      </c>
      <c r="N53" t="str">
        <f>IF(Recovery_Helper[[#This Row],[Check Line]],T(INDEX(CHOOSE(Recovery_Helper[[#This Row],[Table]],Surplus[TPBE],Requests[TPBE]),Recovery_Helper[[#This Row],[Table Unique Index]])),"")</f>
        <v/>
      </c>
      <c r="O53" t="str">
        <f>IF(Recovery_Helper[[#This Row],[Check Line]],T(INDEX(CHOOSE(Recovery_Helper[[#This Row],[Table]],Surplus[Functional Centre],Requests[FC]),Recovery_Helper[[#This Row],[Table Unique Index]])),"")</f>
        <v/>
      </c>
      <c r="P53" s="22">
        <f>SUMIFS(Surplus[Surplus],Surplus[TPBE],Recovery_Helper[[#This Row],[TPBE]],Surplus[Functional Centre],Recovery_Helper[[#This Row],[Functional Centre]])</f>
        <v>0</v>
      </c>
      <c r="Q53" s="22">
        <f>IF(Recovery_Helper[[#This Row],[Check Line]],IF(COUNTBLANK(Recovery_Helper[[#This Row],[TPBE]:[Functional Centre]])=0,-1*SUMIFS(Requests[Adj. Amount],Requests[TPBE],Recovery_Helper[[#This Row],[TPBE]],Requests[FC],Recovery_Helper[[#This Row],[Functional Centre]],Requests[Adj. Amount],"&lt;0"),0),0)</f>
        <v>0</v>
      </c>
      <c r="R53" s="22">
        <f>Recovery_Helper[[#This Row],[Forecasted Surplus]]-Recovery_Helper[[#This Row],[Surplus Usage Request]]</f>
        <v>0</v>
      </c>
      <c r="S53" s="33" t="str">
        <f>IF(Recovery_Helper[[#This Row],[Check Line]],Recovery_Helper[[#This Row],[Index]],"")</f>
        <v/>
      </c>
      <c r="T53" s="41" t="str">
        <f>IF(Recovery_Helper[[#This Row],[Check Line]],IF(Recovery_Helper[[#This Row],[Index]]&lt;=Surplus[[#Totals],[Add to Recoveries]],1,2),"")</f>
        <v/>
      </c>
      <c r="U53" s="41" t="str">
        <f>IF(Recovery_Helper[[#This Row],[Check Line]],COUNTIFS(Recovery_Helper[Table],Recovery_Helper[[#This Row],[Table]],Recovery_Helper[Index],"&lt;="&amp;Recovery_Helper[[#This Row],[Index]]),"")</f>
        <v/>
      </c>
      <c r="V53" s="41" t="str">
        <f>IF(Recovery_Helper[[#This Row],[Check Line]],SMALL(CHOOSE(Recovery_Helper[[#This Row],[Table]],Surplus[Add to Recoveries],Requests[Reallocation Type]),Recovery_Helper[[#This Row],[Table Index]]),"")</f>
        <v/>
      </c>
    </row>
    <row r="54" spans="1:32" hidden="1" outlineLevel="1" x14ac:dyDescent="0.35">
      <c r="L54" s="22" t="b">
        <f>Recovery_Helper[[#This Row],[Index]]&lt;=Count_Recoveries_New</f>
        <v>0</v>
      </c>
      <c r="M54">
        <f>ROW()-ROW(Recovery_Helper[[#Headers],[Index]])</f>
        <v>10</v>
      </c>
      <c r="N54" t="str">
        <f>IF(Recovery_Helper[[#This Row],[Check Line]],T(INDEX(CHOOSE(Recovery_Helper[[#This Row],[Table]],Surplus[TPBE],Requests[TPBE]),Recovery_Helper[[#This Row],[Table Unique Index]])),"")</f>
        <v/>
      </c>
      <c r="O54" t="str">
        <f>IF(Recovery_Helper[[#This Row],[Check Line]],T(INDEX(CHOOSE(Recovery_Helper[[#This Row],[Table]],Surplus[Functional Centre],Requests[FC]),Recovery_Helper[[#This Row],[Table Unique Index]])),"")</f>
        <v/>
      </c>
      <c r="P54" s="22">
        <f>SUMIFS(Surplus[Surplus],Surplus[TPBE],Recovery_Helper[[#This Row],[TPBE]],Surplus[Functional Centre],Recovery_Helper[[#This Row],[Functional Centre]])</f>
        <v>0</v>
      </c>
      <c r="Q54" s="22">
        <f>IF(Recovery_Helper[[#This Row],[Check Line]],IF(COUNTBLANK(Recovery_Helper[[#This Row],[TPBE]:[Functional Centre]])=0,-1*SUMIFS(Requests[Adj. Amount],Requests[TPBE],Recovery_Helper[[#This Row],[TPBE]],Requests[FC],Recovery_Helper[[#This Row],[Functional Centre]],Requests[Adj. Amount],"&lt;0"),0),0)</f>
        <v>0</v>
      </c>
      <c r="R54" s="22">
        <f>Recovery_Helper[[#This Row],[Forecasted Surplus]]-Recovery_Helper[[#This Row],[Surplus Usage Request]]</f>
        <v>0</v>
      </c>
      <c r="S54" s="33" t="str">
        <f>IF(Recovery_Helper[[#This Row],[Check Line]],Recovery_Helper[[#This Row],[Index]],"")</f>
        <v/>
      </c>
      <c r="T54" s="41" t="str">
        <f>IF(Recovery_Helper[[#This Row],[Check Line]],IF(Recovery_Helper[[#This Row],[Index]]&lt;=Surplus[[#Totals],[Add to Recoveries]],1,2),"")</f>
        <v/>
      </c>
      <c r="U54" s="41" t="str">
        <f>IF(Recovery_Helper[[#This Row],[Check Line]],COUNTIFS(Recovery_Helper[Table],Recovery_Helper[[#This Row],[Table]],Recovery_Helper[Index],"&lt;="&amp;Recovery_Helper[[#This Row],[Index]]),"")</f>
        <v/>
      </c>
      <c r="V54" s="41" t="str">
        <f>IF(Recovery_Helper[[#This Row],[Check Line]],SMALL(CHOOSE(Recovery_Helper[[#This Row],[Table]],Surplus[Add to Recoveries],Requests[Reallocation Type]),Recovery_Helper[[#This Row],[Table Index]]),"")</f>
        <v/>
      </c>
    </row>
    <row r="55" spans="1:32" hidden="1" outlineLevel="1" x14ac:dyDescent="0.35">
      <c r="L55" s="22" t="b">
        <f>Recovery_Helper[[#This Row],[Index]]&lt;=Count_Recoveries_New</f>
        <v>0</v>
      </c>
      <c r="M55">
        <f>ROW()-ROW(Recovery_Helper[[#Headers],[Index]])</f>
        <v>11</v>
      </c>
      <c r="N55" t="str">
        <f>IF(Recovery_Helper[[#This Row],[Check Line]],T(INDEX(CHOOSE(Recovery_Helper[[#This Row],[Table]],Surplus[TPBE],Requests[TPBE]),Recovery_Helper[[#This Row],[Table Unique Index]])),"")</f>
        <v/>
      </c>
      <c r="O55" t="str">
        <f>IF(Recovery_Helper[[#This Row],[Check Line]],T(INDEX(CHOOSE(Recovery_Helper[[#This Row],[Table]],Surplus[Functional Centre],Requests[FC]),Recovery_Helper[[#This Row],[Table Unique Index]])),"")</f>
        <v/>
      </c>
      <c r="P55" s="22">
        <f>SUMIFS(Surplus[Surplus],Surplus[TPBE],Recovery_Helper[[#This Row],[TPBE]],Surplus[Functional Centre],Recovery_Helper[[#This Row],[Functional Centre]])</f>
        <v>0</v>
      </c>
      <c r="Q55" s="22">
        <f>IF(Recovery_Helper[[#This Row],[Check Line]],IF(COUNTBLANK(Recovery_Helper[[#This Row],[TPBE]:[Functional Centre]])=0,-1*SUMIFS(Requests[Adj. Amount],Requests[TPBE],Recovery_Helper[[#This Row],[TPBE]],Requests[FC],Recovery_Helper[[#This Row],[Functional Centre]],Requests[Adj. Amount],"&lt;0"),0),0)</f>
        <v>0</v>
      </c>
      <c r="R55" s="22">
        <f>Recovery_Helper[[#This Row],[Forecasted Surplus]]-Recovery_Helper[[#This Row],[Surplus Usage Request]]</f>
        <v>0</v>
      </c>
      <c r="S55" s="33" t="str">
        <f>IF(Recovery_Helper[[#This Row],[Check Line]],Recovery_Helper[[#This Row],[Index]],"")</f>
        <v/>
      </c>
      <c r="T55" s="41" t="str">
        <f>IF(Recovery_Helper[[#This Row],[Check Line]],IF(Recovery_Helper[[#This Row],[Index]]&lt;=Surplus[[#Totals],[Add to Recoveries]],1,2),"")</f>
        <v/>
      </c>
      <c r="U55" s="41" t="str">
        <f>IF(Recovery_Helper[[#This Row],[Check Line]],COUNTIFS(Recovery_Helper[Table],Recovery_Helper[[#This Row],[Table]],Recovery_Helper[Index],"&lt;="&amp;Recovery_Helper[[#This Row],[Index]]),"")</f>
        <v/>
      </c>
      <c r="V55" s="41" t="str">
        <f>IF(Recovery_Helper[[#This Row],[Check Line]],SMALL(CHOOSE(Recovery_Helper[[#This Row],[Table]],Surplus[Add to Recoveries],Requests[Reallocation Type]),Recovery_Helper[[#This Row],[Table Index]]),"")</f>
        <v/>
      </c>
    </row>
    <row r="56" spans="1:32" hidden="1" outlineLevel="1" x14ac:dyDescent="0.35">
      <c r="A56" s="37"/>
      <c r="F56" s="37"/>
      <c r="G56" s="37"/>
      <c r="H56" s="37"/>
      <c r="I56" s="37"/>
      <c r="J56" s="37"/>
      <c r="K56" s="37"/>
      <c r="L56" s="22" t="b">
        <f>Recovery_Helper[[#This Row],[Index]]&lt;=Count_Recoveries_New</f>
        <v>0</v>
      </c>
      <c r="M56">
        <f>ROW()-ROW(Recovery_Helper[[#Headers],[Index]])</f>
        <v>12</v>
      </c>
      <c r="N56" t="str">
        <f>IF(Recovery_Helper[[#This Row],[Check Line]],T(INDEX(CHOOSE(Recovery_Helper[[#This Row],[Table]],Surplus[TPBE],Requests[TPBE]),Recovery_Helper[[#This Row],[Table Unique Index]])),"")</f>
        <v/>
      </c>
      <c r="O56" t="str">
        <f>IF(Recovery_Helper[[#This Row],[Check Line]],T(INDEX(CHOOSE(Recovery_Helper[[#This Row],[Table]],Surplus[Functional Centre],Requests[FC]),Recovery_Helper[[#This Row],[Table Unique Index]])),"")</f>
        <v/>
      </c>
      <c r="P56" s="22">
        <f>SUMIFS(Surplus[Surplus],Surplus[TPBE],Recovery_Helper[[#This Row],[TPBE]],Surplus[Functional Centre],Recovery_Helper[[#This Row],[Functional Centre]])</f>
        <v>0</v>
      </c>
      <c r="Q56" s="22">
        <f>IF(Recovery_Helper[[#This Row],[Check Line]],IF(COUNTBLANK(Recovery_Helper[[#This Row],[TPBE]:[Functional Centre]])=0,-1*SUMIFS(Requests[Adj. Amount],Requests[TPBE],Recovery_Helper[[#This Row],[TPBE]],Requests[FC],Recovery_Helper[[#This Row],[Functional Centre]],Requests[Adj. Amount],"&lt;0"),0),0)</f>
        <v>0</v>
      </c>
      <c r="R56" s="22">
        <f>Recovery_Helper[[#This Row],[Forecasted Surplus]]-Recovery_Helper[[#This Row],[Surplus Usage Request]]</f>
        <v>0</v>
      </c>
      <c r="S56" s="33" t="str">
        <f>IF(Recovery_Helper[[#This Row],[Check Line]],Recovery_Helper[[#This Row],[Index]],"")</f>
        <v/>
      </c>
      <c r="T56" s="41" t="str">
        <f>IF(Recovery_Helper[[#This Row],[Check Line]],IF(Recovery_Helper[[#This Row],[Index]]&lt;=Surplus[[#Totals],[Add to Recoveries]],1,2),"")</f>
        <v/>
      </c>
      <c r="U56" s="41" t="str">
        <f>IF(Recovery_Helper[[#This Row],[Check Line]],COUNTIFS(Recovery_Helper[Table],Recovery_Helper[[#This Row],[Table]],Recovery_Helper[Index],"&lt;="&amp;Recovery_Helper[[#This Row],[Index]]),"")</f>
        <v/>
      </c>
      <c r="V56" s="41" t="str">
        <f>IF(Recovery_Helper[[#This Row],[Check Line]],SMALL(CHOOSE(Recovery_Helper[[#This Row],[Table]],Surplus[Add to Recoveries],Requests[Reallocation Type]),Recovery_Helper[[#This Row],[Table Index]]),"")</f>
        <v/>
      </c>
    </row>
    <row r="57" spans="1:32" hidden="1" outlineLevel="1" x14ac:dyDescent="0.35">
      <c r="L57" s="22" t="b">
        <f>Recovery_Helper[[#This Row],[Index]]&lt;=Count_Recoveries_New</f>
        <v>0</v>
      </c>
      <c r="M57">
        <f>ROW()-ROW(Recovery_Helper[[#Headers],[Index]])</f>
        <v>13</v>
      </c>
      <c r="N57" t="str">
        <f>IF(Recovery_Helper[[#This Row],[Check Line]],T(INDEX(CHOOSE(Recovery_Helper[[#This Row],[Table]],Surplus[TPBE],Requests[TPBE]),Recovery_Helper[[#This Row],[Table Unique Index]])),"")</f>
        <v/>
      </c>
      <c r="O57" t="str">
        <f>IF(Recovery_Helper[[#This Row],[Check Line]],T(INDEX(CHOOSE(Recovery_Helper[[#This Row],[Table]],Surplus[Functional Centre],Requests[FC]),Recovery_Helper[[#This Row],[Table Unique Index]])),"")</f>
        <v/>
      </c>
      <c r="P57" s="22">
        <f>SUMIFS(Surplus[Surplus],Surplus[TPBE],Recovery_Helper[[#This Row],[TPBE]],Surplus[Functional Centre],Recovery_Helper[[#This Row],[Functional Centre]])</f>
        <v>0</v>
      </c>
      <c r="Q57" s="22">
        <f>IF(Recovery_Helper[[#This Row],[Check Line]],IF(COUNTBLANK(Recovery_Helper[[#This Row],[TPBE]:[Functional Centre]])=0,-1*SUMIFS(Requests[Adj. Amount],Requests[TPBE],Recovery_Helper[[#This Row],[TPBE]],Requests[FC],Recovery_Helper[[#This Row],[Functional Centre]],Requests[Adj. Amount],"&lt;0"),0),0)</f>
        <v>0</v>
      </c>
      <c r="R57" s="22">
        <f>Recovery_Helper[[#This Row],[Forecasted Surplus]]-Recovery_Helper[[#This Row],[Surplus Usage Request]]</f>
        <v>0</v>
      </c>
      <c r="S57" s="33" t="str">
        <f>IF(Recovery_Helper[[#This Row],[Check Line]],Recovery_Helper[[#This Row],[Index]],"")</f>
        <v/>
      </c>
      <c r="T57" s="41" t="str">
        <f>IF(Recovery_Helper[[#This Row],[Check Line]],IF(Recovery_Helper[[#This Row],[Index]]&lt;=Surplus[[#Totals],[Add to Recoveries]],1,2),"")</f>
        <v/>
      </c>
      <c r="U57" s="41" t="str">
        <f>IF(Recovery_Helper[[#This Row],[Check Line]],COUNTIFS(Recovery_Helper[Table],Recovery_Helper[[#This Row],[Table]],Recovery_Helper[Index],"&lt;="&amp;Recovery_Helper[[#This Row],[Index]]),"")</f>
        <v/>
      </c>
      <c r="V57" s="41" t="str">
        <f>IF(Recovery_Helper[[#This Row],[Check Line]],SMALL(CHOOSE(Recovery_Helper[[#This Row],[Table]],Surplus[Add to Recoveries],Requests[Reallocation Type]),Recovery_Helper[[#This Row],[Table Index]]),"")</f>
        <v/>
      </c>
      <c r="AF57" s="37"/>
    </row>
    <row r="58" spans="1:32" hidden="1" outlineLevel="1" x14ac:dyDescent="0.35">
      <c r="L58" s="22" t="b">
        <f>Recovery_Helper[[#This Row],[Index]]&lt;=Count_Recoveries_New</f>
        <v>0</v>
      </c>
      <c r="M58">
        <f>ROW()-ROW(Recovery_Helper[[#Headers],[Index]])</f>
        <v>14</v>
      </c>
      <c r="N58" t="str">
        <f>IF(Recovery_Helper[[#This Row],[Check Line]],T(INDEX(CHOOSE(Recovery_Helper[[#This Row],[Table]],Surplus[TPBE],Requests[TPBE]),Recovery_Helper[[#This Row],[Table Unique Index]])),"")</f>
        <v/>
      </c>
      <c r="O58" t="str">
        <f>IF(Recovery_Helper[[#This Row],[Check Line]],T(INDEX(CHOOSE(Recovery_Helper[[#This Row],[Table]],Surplus[Functional Centre],Requests[FC]),Recovery_Helper[[#This Row],[Table Unique Index]])),"")</f>
        <v/>
      </c>
      <c r="P58" s="22">
        <f>SUMIFS(Surplus[Surplus],Surplus[TPBE],Recovery_Helper[[#This Row],[TPBE]],Surplus[Functional Centre],Recovery_Helper[[#This Row],[Functional Centre]])</f>
        <v>0</v>
      </c>
      <c r="Q58" s="22">
        <f>IF(Recovery_Helper[[#This Row],[Check Line]],IF(COUNTBLANK(Recovery_Helper[[#This Row],[TPBE]:[Functional Centre]])=0,-1*SUMIFS(Requests[Adj. Amount],Requests[TPBE],Recovery_Helper[[#This Row],[TPBE]],Requests[FC],Recovery_Helper[[#This Row],[Functional Centre]],Requests[Adj. Amount],"&lt;0"),0),0)</f>
        <v>0</v>
      </c>
      <c r="R58" s="22">
        <f>Recovery_Helper[[#This Row],[Forecasted Surplus]]-Recovery_Helper[[#This Row],[Surplus Usage Request]]</f>
        <v>0</v>
      </c>
      <c r="S58" s="33" t="str">
        <f>IF(Recovery_Helper[[#This Row],[Check Line]],Recovery_Helper[[#This Row],[Index]],"")</f>
        <v/>
      </c>
      <c r="T58" s="41" t="str">
        <f>IF(Recovery_Helper[[#This Row],[Check Line]],IF(Recovery_Helper[[#This Row],[Index]]&lt;=Surplus[[#Totals],[Add to Recoveries]],1,2),"")</f>
        <v/>
      </c>
      <c r="U58" s="41" t="str">
        <f>IF(Recovery_Helper[[#This Row],[Check Line]],COUNTIFS(Recovery_Helper[Table],Recovery_Helper[[#This Row],[Table]],Recovery_Helper[Index],"&lt;="&amp;Recovery_Helper[[#This Row],[Index]]),"")</f>
        <v/>
      </c>
      <c r="V58" s="41" t="str">
        <f>IF(Recovery_Helper[[#This Row],[Check Line]],SMALL(CHOOSE(Recovery_Helper[[#This Row],[Table]],Surplus[Add to Recoveries],Requests[Reallocation Type]),Recovery_Helper[[#This Row],[Table Index]]),"")</f>
        <v/>
      </c>
    </row>
    <row r="59" spans="1:32" hidden="1" outlineLevel="1" x14ac:dyDescent="0.35">
      <c r="L59" s="22" t="b">
        <f>Recovery_Helper[[#This Row],[Index]]&lt;=Count_Recoveries_New</f>
        <v>0</v>
      </c>
      <c r="M59">
        <f>ROW()-ROW(Recovery_Helper[[#Headers],[Index]])</f>
        <v>15</v>
      </c>
      <c r="N59" t="str">
        <f>IF(Recovery_Helper[[#This Row],[Check Line]],T(INDEX(CHOOSE(Recovery_Helper[[#This Row],[Table]],Surplus[TPBE],Requests[TPBE]),Recovery_Helper[[#This Row],[Table Unique Index]])),"")</f>
        <v/>
      </c>
      <c r="O59" t="str">
        <f>IF(Recovery_Helper[[#This Row],[Check Line]],T(INDEX(CHOOSE(Recovery_Helper[[#This Row],[Table]],Surplus[Functional Centre],Requests[FC]),Recovery_Helper[[#This Row],[Table Unique Index]])),"")</f>
        <v/>
      </c>
      <c r="P59" s="22">
        <f>SUMIFS(Surplus[Surplus],Surplus[TPBE],Recovery_Helper[[#This Row],[TPBE]],Surplus[Functional Centre],Recovery_Helper[[#This Row],[Functional Centre]])</f>
        <v>0</v>
      </c>
      <c r="Q59" s="22">
        <f>IF(Recovery_Helper[[#This Row],[Check Line]],IF(COUNTBLANK(Recovery_Helper[[#This Row],[TPBE]:[Functional Centre]])=0,-1*SUMIFS(Requests[Adj. Amount],Requests[TPBE],Recovery_Helper[[#This Row],[TPBE]],Requests[FC],Recovery_Helper[[#This Row],[Functional Centre]],Requests[Adj. Amount],"&lt;0"),0),0)</f>
        <v>0</v>
      </c>
      <c r="R59" s="22">
        <f>Recovery_Helper[[#This Row],[Forecasted Surplus]]-Recovery_Helper[[#This Row],[Surplus Usage Request]]</f>
        <v>0</v>
      </c>
      <c r="S59" s="33" t="str">
        <f>IF(Recovery_Helper[[#This Row],[Check Line]],Recovery_Helper[[#This Row],[Index]],"")</f>
        <v/>
      </c>
      <c r="T59" s="41" t="str">
        <f>IF(Recovery_Helper[[#This Row],[Check Line]],IF(Recovery_Helper[[#This Row],[Index]]&lt;=Surplus[[#Totals],[Add to Recoveries]],1,2),"")</f>
        <v/>
      </c>
      <c r="U59" s="41" t="str">
        <f>IF(Recovery_Helper[[#This Row],[Check Line]],COUNTIFS(Recovery_Helper[Table],Recovery_Helper[[#This Row],[Table]],Recovery_Helper[Index],"&lt;="&amp;Recovery_Helper[[#This Row],[Index]]),"")</f>
        <v/>
      </c>
      <c r="V59" s="41" t="str">
        <f>IF(Recovery_Helper[[#This Row],[Check Line]],SMALL(CHOOSE(Recovery_Helper[[#This Row],[Table]],Surplus[Add to Recoveries],Requests[Reallocation Type]),Recovery_Helper[[#This Row],[Table Index]]),"")</f>
        <v/>
      </c>
    </row>
    <row r="60" spans="1:32" hidden="1" outlineLevel="1" x14ac:dyDescent="0.35">
      <c r="L60" s="22" t="b">
        <f>Recovery_Helper[[#This Row],[Index]]&lt;=Count_Recoveries_New</f>
        <v>0</v>
      </c>
      <c r="M60">
        <f>ROW()-ROW(Recovery_Helper[[#Headers],[Index]])</f>
        <v>16</v>
      </c>
      <c r="N60" t="str">
        <f>IF(Recovery_Helper[[#This Row],[Check Line]],T(INDEX(CHOOSE(Recovery_Helper[[#This Row],[Table]],Surplus[TPBE],Requests[TPBE]),Recovery_Helper[[#This Row],[Table Unique Index]])),"")</f>
        <v/>
      </c>
      <c r="O60" t="str">
        <f>IF(Recovery_Helper[[#This Row],[Check Line]],T(INDEX(CHOOSE(Recovery_Helper[[#This Row],[Table]],Surplus[Functional Centre],Requests[FC]),Recovery_Helper[[#This Row],[Table Unique Index]])),"")</f>
        <v/>
      </c>
      <c r="P60" s="22">
        <f>SUMIFS(Surplus[Surplus],Surplus[TPBE],Recovery_Helper[[#This Row],[TPBE]],Surplus[Functional Centre],Recovery_Helper[[#This Row],[Functional Centre]])</f>
        <v>0</v>
      </c>
      <c r="Q60" s="22">
        <f>IF(Recovery_Helper[[#This Row],[Check Line]],IF(COUNTBLANK(Recovery_Helper[[#This Row],[TPBE]:[Functional Centre]])=0,-1*SUMIFS(Requests[Adj. Amount],Requests[TPBE],Recovery_Helper[[#This Row],[TPBE]],Requests[FC],Recovery_Helper[[#This Row],[Functional Centre]],Requests[Adj. Amount],"&lt;0"),0),0)</f>
        <v>0</v>
      </c>
      <c r="R60" s="22">
        <f>Recovery_Helper[[#This Row],[Forecasted Surplus]]-Recovery_Helper[[#This Row],[Surplus Usage Request]]</f>
        <v>0</v>
      </c>
      <c r="S60" s="33" t="str">
        <f>IF(Recovery_Helper[[#This Row],[Check Line]],Recovery_Helper[[#This Row],[Index]],"")</f>
        <v/>
      </c>
      <c r="T60" s="41" t="str">
        <f>IF(Recovery_Helper[[#This Row],[Check Line]],IF(Recovery_Helper[[#This Row],[Index]]&lt;=Surplus[[#Totals],[Add to Recoveries]],1,2),"")</f>
        <v/>
      </c>
      <c r="U60" s="41" t="str">
        <f>IF(Recovery_Helper[[#This Row],[Check Line]],COUNTIFS(Recovery_Helper[Table],Recovery_Helper[[#This Row],[Table]],Recovery_Helper[Index],"&lt;="&amp;Recovery_Helper[[#This Row],[Index]]),"")</f>
        <v/>
      </c>
      <c r="V60" s="41" t="str">
        <f>IF(Recovery_Helper[[#This Row],[Check Line]],SMALL(CHOOSE(Recovery_Helper[[#This Row],[Table]],Surplus[Add to Recoveries],Requests[Reallocation Type]),Recovery_Helper[[#This Row],[Table Index]]),"")</f>
        <v/>
      </c>
    </row>
    <row r="61" spans="1:32" hidden="1" outlineLevel="1" x14ac:dyDescent="0.35">
      <c r="L61" s="22" t="b">
        <f>Recovery_Helper[[#This Row],[Index]]&lt;=Count_Recoveries_New</f>
        <v>0</v>
      </c>
      <c r="M61">
        <f>ROW()-ROW(Recovery_Helper[[#Headers],[Index]])</f>
        <v>17</v>
      </c>
      <c r="N61" t="str">
        <f>IF(Recovery_Helper[[#This Row],[Check Line]],T(INDEX(CHOOSE(Recovery_Helper[[#This Row],[Table]],Surplus[TPBE],Requests[TPBE]),Recovery_Helper[[#This Row],[Table Unique Index]])),"")</f>
        <v/>
      </c>
      <c r="O61" t="str">
        <f>IF(Recovery_Helper[[#This Row],[Check Line]],T(INDEX(CHOOSE(Recovery_Helper[[#This Row],[Table]],Surplus[Functional Centre],Requests[FC]),Recovery_Helper[[#This Row],[Table Unique Index]])),"")</f>
        <v/>
      </c>
      <c r="P61" s="22">
        <f>SUMIFS(Surplus[Surplus],Surplus[TPBE],Recovery_Helper[[#This Row],[TPBE]],Surplus[Functional Centre],Recovery_Helper[[#This Row],[Functional Centre]])</f>
        <v>0</v>
      </c>
      <c r="Q61" s="22">
        <f>IF(Recovery_Helper[[#This Row],[Check Line]],IF(COUNTBLANK(Recovery_Helper[[#This Row],[TPBE]:[Functional Centre]])=0,-1*SUMIFS(Requests[Adj. Amount],Requests[TPBE],Recovery_Helper[[#This Row],[TPBE]],Requests[FC],Recovery_Helper[[#This Row],[Functional Centre]],Requests[Adj. Amount],"&lt;0"),0),0)</f>
        <v>0</v>
      </c>
      <c r="R61" s="22">
        <f>Recovery_Helper[[#This Row],[Forecasted Surplus]]-Recovery_Helper[[#This Row],[Surplus Usage Request]]</f>
        <v>0</v>
      </c>
      <c r="S61" s="33" t="str">
        <f>IF(Recovery_Helper[[#This Row],[Check Line]],Recovery_Helper[[#This Row],[Index]],"")</f>
        <v/>
      </c>
      <c r="T61" s="41" t="str">
        <f>IF(Recovery_Helper[[#This Row],[Check Line]],IF(Recovery_Helper[[#This Row],[Index]]&lt;=Surplus[[#Totals],[Add to Recoveries]],1,2),"")</f>
        <v/>
      </c>
      <c r="U61" s="41" t="str">
        <f>IF(Recovery_Helper[[#This Row],[Check Line]],COUNTIFS(Recovery_Helper[Table],Recovery_Helper[[#This Row],[Table]],Recovery_Helper[Index],"&lt;="&amp;Recovery_Helper[[#This Row],[Index]]),"")</f>
        <v/>
      </c>
      <c r="V61" s="41" t="str">
        <f>IF(Recovery_Helper[[#This Row],[Check Line]],SMALL(CHOOSE(Recovery_Helper[[#This Row],[Table]],Surplus[Add to Recoveries],Requests[Reallocation Type]),Recovery_Helper[[#This Row],[Table Index]]),"")</f>
        <v/>
      </c>
    </row>
    <row r="62" spans="1:32" hidden="1" outlineLevel="1" x14ac:dyDescent="0.35">
      <c r="L62" s="22" t="b">
        <f>Recovery_Helper[[#This Row],[Index]]&lt;=Count_Recoveries_New</f>
        <v>0</v>
      </c>
      <c r="M62">
        <f>ROW()-ROW(Recovery_Helper[[#Headers],[Index]])</f>
        <v>18</v>
      </c>
      <c r="N62" t="str">
        <f>IF(Recovery_Helper[[#This Row],[Check Line]],T(INDEX(CHOOSE(Recovery_Helper[[#This Row],[Table]],Surplus[TPBE],Requests[TPBE]),Recovery_Helper[[#This Row],[Table Unique Index]])),"")</f>
        <v/>
      </c>
      <c r="O62" t="str">
        <f>IF(Recovery_Helper[[#This Row],[Check Line]],T(INDEX(CHOOSE(Recovery_Helper[[#This Row],[Table]],Surplus[Functional Centre],Requests[FC]),Recovery_Helper[[#This Row],[Table Unique Index]])),"")</f>
        <v/>
      </c>
      <c r="P62" s="22">
        <f>SUMIFS(Surplus[Surplus],Surplus[TPBE],Recovery_Helper[[#This Row],[TPBE]],Surplus[Functional Centre],Recovery_Helper[[#This Row],[Functional Centre]])</f>
        <v>0</v>
      </c>
      <c r="Q62" s="22">
        <f>IF(Recovery_Helper[[#This Row],[Check Line]],IF(COUNTBLANK(Recovery_Helper[[#This Row],[TPBE]:[Functional Centre]])=0,-1*SUMIFS(Requests[Adj. Amount],Requests[TPBE],Recovery_Helper[[#This Row],[TPBE]],Requests[FC],Recovery_Helper[[#This Row],[Functional Centre]],Requests[Adj. Amount],"&lt;0"),0),0)</f>
        <v>0</v>
      </c>
      <c r="R62" s="22">
        <f>Recovery_Helper[[#This Row],[Forecasted Surplus]]-Recovery_Helper[[#This Row],[Surplus Usage Request]]</f>
        <v>0</v>
      </c>
      <c r="S62" s="33" t="str">
        <f>IF(Recovery_Helper[[#This Row],[Check Line]],Recovery_Helper[[#This Row],[Index]],"")</f>
        <v/>
      </c>
      <c r="T62" s="41" t="str">
        <f>IF(Recovery_Helper[[#This Row],[Check Line]],IF(Recovery_Helper[[#This Row],[Index]]&lt;=Surplus[[#Totals],[Add to Recoveries]],1,2),"")</f>
        <v/>
      </c>
      <c r="U62" s="41" t="str">
        <f>IF(Recovery_Helper[[#This Row],[Check Line]],COUNTIFS(Recovery_Helper[Table],Recovery_Helper[[#This Row],[Table]],Recovery_Helper[Index],"&lt;="&amp;Recovery_Helper[[#This Row],[Index]]),"")</f>
        <v/>
      </c>
      <c r="V62" s="41" t="str">
        <f>IF(Recovery_Helper[[#This Row],[Check Line]],SMALL(CHOOSE(Recovery_Helper[[#This Row],[Table]],Surplus[Add to Recoveries],Requests[Reallocation Type]),Recovery_Helper[[#This Row],[Table Index]]),"")</f>
        <v/>
      </c>
    </row>
    <row r="63" spans="1:32" hidden="1" outlineLevel="1" x14ac:dyDescent="0.35">
      <c r="L63" s="22" t="b">
        <f>Recovery_Helper[[#This Row],[Index]]&lt;=Count_Recoveries_New</f>
        <v>0</v>
      </c>
      <c r="M63">
        <f>ROW()-ROW(Recovery_Helper[[#Headers],[Index]])</f>
        <v>19</v>
      </c>
      <c r="N63" t="str">
        <f>IF(Recovery_Helper[[#This Row],[Check Line]],T(INDEX(CHOOSE(Recovery_Helper[[#This Row],[Table]],Surplus[TPBE],Requests[TPBE]),Recovery_Helper[[#This Row],[Table Unique Index]])),"")</f>
        <v/>
      </c>
      <c r="O63" t="str">
        <f>IF(Recovery_Helper[[#This Row],[Check Line]],T(INDEX(CHOOSE(Recovery_Helper[[#This Row],[Table]],Surplus[Functional Centre],Requests[FC]),Recovery_Helper[[#This Row],[Table Unique Index]])),"")</f>
        <v/>
      </c>
      <c r="P63" s="22">
        <f>SUMIFS(Surplus[Surplus],Surplus[TPBE],Recovery_Helper[[#This Row],[TPBE]],Surplus[Functional Centre],Recovery_Helper[[#This Row],[Functional Centre]])</f>
        <v>0</v>
      </c>
      <c r="Q63" s="22">
        <f>IF(Recovery_Helper[[#This Row],[Check Line]],IF(COUNTBLANK(Recovery_Helper[[#This Row],[TPBE]:[Functional Centre]])=0,-1*SUMIFS(Requests[Adj. Amount],Requests[TPBE],Recovery_Helper[[#This Row],[TPBE]],Requests[FC],Recovery_Helper[[#This Row],[Functional Centre]],Requests[Adj. Amount],"&lt;0"),0),0)</f>
        <v>0</v>
      </c>
      <c r="R63" s="22">
        <f>Recovery_Helper[[#This Row],[Forecasted Surplus]]-Recovery_Helper[[#This Row],[Surplus Usage Request]]</f>
        <v>0</v>
      </c>
      <c r="S63" s="33" t="str">
        <f>IF(Recovery_Helper[[#This Row],[Check Line]],Recovery_Helper[[#This Row],[Index]],"")</f>
        <v/>
      </c>
      <c r="T63" s="41" t="str">
        <f>IF(Recovery_Helper[[#This Row],[Check Line]],IF(Recovery_Helper[[#This Row],[Index]]&lt;=Surplus[[#Totals],[Add to Recoveries]],1,2),"")</f>
        <v/>
      </c>
      <c r="U63" s="41" t="str">
        <f>IF(Recovery_Helper[[#This Row],[Check Line]],COUNTIFS(Recovery_Helper[Table],Recovery_Helper[[#This Row],[Table]],Recovery_Helper[Index],"&lt;="&amp;Recovery_Helper[[#This Row],[Index]]),"")</f>
        <v/>
      </c>
      <c r="V63" s="41" t="str">
        <f>IF(Recovery_Helper[[#This Row],[Check Line]],SMALL(CHOOSE(Recovery_Helper[[#This Row],[Table]],Surplus[Add to Recoveries],Requests[Reallocation Type]),Recovery_Helper[[#This Row],[Table Index]]),"")</f>
        <v/>
      </c>
    </row>
    <row r="64" spans="1:32" hidden="1" outlineLevel="1" x14ac:dyDescent="0.35">
      <c r="L64" s="22" t="b">
        <f>Recovery_Helper[[#This Row],[Index]]&lt;=Count_Recoveries_New</f>
        <v>0</v>
      </c>
      <c r="M64">
        <f>ROW()-ROW(Recovery_Helper[[#Headers],[Index]])</f>
        <v>20</v>
      </c>
      <c r="N64" t="str">
        <f>IF(Recovery_Helper[[#This Row],[Check Line]],T(INDEX(CHOOSE(Recovery_Helper[[#This Row],[Table]],Surplus[TPBE],Requests[TPBE]),Recovery_Helper[[#This Row],[Table Unique Index]])),"")</f>
        <v/>
      </c>
      <c r="O64" t="str">
        <f>IF(Recovery_Helper[[#This Row],[Check Line]],T(INDEX(CHOOSE(Recovery_Helper[[#This Row],[Table]],Surplus[Functional Centre],Requests[FC]),Recovery_Helper[[#This Row],[Table Unique Index]])),"")</f>
        <v/>
      </c>
      <c r="P64" s="22">
        <f>SUMIFS(Surplus[Surplus],Surplus[TPBE],Recovery_Helper[[#This Row],[TPBE]],Surplus[Functional Centre],Recovery_Helper[[#This Row],[Functional Centre]])</f>
        <v>0</v>
      </c>
      <c r="Q64" s="22">
        <f>IF(Recovery_Helper[[#This Row],[Check Line]],IF(COUNTBLANK(Recovery_Helper[[#This Row],[TPBE]:[Functional Centre]])=0,-1*SUMIFS(Requests[Adj. Amount],Requests[TPBE],Recovery_Helper[[#This Row],[TPBE]],Requests[FC],Recovery_Helper[[#This Row],[Functional Centre]],Requests[Adj. Amount],"&lt;0"),0),0)</f>
        <v>0</v>
      </c>
      <c r="R64" s="22">
        <f>Recovery_Helper[[#This Row],[Forecasted Surplus]]-Recovery_Helper[[#This Row],[Surplus Usage Request]]</f>
        <v>0</v>
      </c>
      <c r="S64" s="33" t="str">
        <f>IF(Recovery_Helper[[#This Row],[Check Line]],Recovery_Helper[[#This Row],[Index]],"")</f>
        <v/>
      </c>
      <c r="T64" s="41" t="str">
        <f>IF(Recovery_Helper[[#This Row],[Check Line]],IF(Recovery_Helper[[#This Row],[Index]]&lt;=Surplus[[#Totals],[Add to Recoveries]],1,2),"")</f>
        <v/>
      </c>
      <c r="U64" s="41" t="str">
        <f>IF(Recovery_Helper[[#This Row],[Check Line]],COUNTIFS(Recovery_Helper[Table],Recovery_Helper[[#This Row],[Table]],Recovery_Helper[Index],"&lt;="&amp;Recovery_Helper[[#This Row],[Index]]),"")</f>
        <v/>
      </c>
      <c r="V64" s="41" t="str">
        <f>IF(Recovery_Helper[[#This Row],[Check Line]],SMALL(CHOOSE(Recovery_Helper[[#This Row],[Table]],Surplus[Add to Recoveries],Requests[Reallocation Type]),Recovery_Helper[[#This Row],[Table Index]]),"")</f>
        <v/>
      </c>
    </row>
    <row r="65" spans="12:22" hidden="1" outlineLevel="1" x14ac:dyDescent="0.35">
      <c r="L65" s="22" t="b">
        <f>Recovery_Helper[[#This Row],[Index]]&lt;=Count_Recoveries_New</f>
        <v>0</v>
      </c>
      <c r="M65">
        <f>ROW()-ROW(Recovery_Helper[[#Headers],[Index]])</f>
        <v>21</v>
      </c>
      <c r="N65" t="str">
        <f>IF(Recovery_Helper[[#This Row],[Check Line]],T(INDEX(CHOOSE(Recovery_Helper[[#This Row],[Table]],Surplus[TPBE],Requests[TPBE]),Recovery_Helper[[#This Row],[Table Unique Index]])),"")</f>
        <v/>
      </c>
      <c r="O65" t="str">
        <f>IF(Recovery_Helper[[#This Row],[Check Line]],T(INDEX(CHOOSE(Recovery_Helper[[#This Row],[Table]],Surplus[Functional Centre],Requests[FC]),Recovery_Helper[[#This Row],[Table Unique Index]])),"")</f>
        <v/>
      </c>
      <c r="P65" s="22">
        <f>SUMIFS(Surplus[Surplus],Surplus[TPBE],Recovery_Helper[[#This Row],[TPBE]],Surplus[Functional Centre],Recovery_Helper[[#This Row],[Functional Centre]])</f>
        <v>0</v>
      </c>
      <c r="Q65" s="22">
        <f>IF(Recovery_Helper[[#This Row],[Check Line]],IF(COUNTBLANK(Recovery_Helper[[#This Row],[TPBE]:[Functional Centre]])=0,-1*SUMIFS(Requests[Adj. Amount],Requests[TPBE],Recovery_Helper[[#This Row],[TPBE]],Requests[FC],Recovery_Helper[[#This Row],[Functional Centre]],Requests[Adj. Amount],"&lt;0"),0),0)</f>
        <v>0</v>
      </c>
      <c r="R65" s="22">
        <f>Recovery_Helper[[#This Row],[Forecasted Surplus]]-Recovery_Helper[[#This Row],[Surplus Usage Request]]</f>
        <v>0</v>
      </c>
      <c r="S65" s="33" t="str">
        <f>IF(Recovery_Helper[[#This Row],[Check Line]],Recovery_Helper[[#This Row],[Index]],"")</f>
        <v/>
      </c>
      <c r="T65" s="41" t="str">
        <f>IF(Recovery_Helper[[#This Row],[Check Line]],IF(Recovery_Helper[[#This Row],[Index]]&lt;=Surplus[[#Totals],[Add to Recoveries]],1,2),"")</f>
        <v/>
      </c>
      <c r="U65" s="41" t="str">
        <f>IF(Recovery_Helper[[#This Row],[Check Line]],COUNTIFS(Recovery_Helper[Table],Recovery_Helper[[#This Row],[Table]],Recovery_Helper[Index],"&lt;="&amp;Recovery_Helper[[#This Row],[Index]]),"")</f>
        <v/>
      </c>
      <c r="V65" s="41" t="str">
        <f>IF(Recovery_Helper[[#This Row],[Check Line]],SMALL(CHOOSE(Recovery_Helper[[#This Row],[Table]],Surplus[Add to Recoveries],Requests[Reallocation Type]),Recovery_Helper[[#This Row],[Table Index]]),"")</f>
        <v/>
      </c>
    </row>
    <row r="66" spans="12:22" hidden="1" outlineLevel="1" x14ac:dyDescent="0.35">
      <c r="L66" s="22" t="b">
        <f>Recovery_Helper[[#This Row],[Index]]&lt;=Count_Recoveries_New</f>
        <v>0</v>
      </c>
      <c r="M66">
        <f>ROW()-ROW(Recovery_Helper[[#Headers],[Index]])</f>
        <v>22</v>
      </c>
      <c r="N66" t="str">
        <f>IF(Recovery_Helper[[#This Row],[Check Line]],T(INDEX(CHOOSE(Recovery_Helper[[#This Row],[Table]],Surplus[TPBE],Requests[TPBE]),Recovery_Helper[[#This Row],[Table Unique Index]])),"")</f>
        <v/>
      </c>
      <c r="O66" t="str">
        <f>IF(Recovery_Helper[[#This Row],[Check Line]],T(INDEX(CHOOSE(Recovery_Helper[[#This Row],[Table]],Surplus[Functional Centre],Requests[FC]),Recovery_Helper[[#This Row],[Table Unique Index]])),"")</f>
        <v/>
      </c>
      <c r="P66" s="22">
        <f>SUMIFS(Surplus[Surplus],Surplus[TPBE],Recovery_Helper[[#This Row],[TPBE]],Surplus[Functional Centre],Recovery_Helper[[#This Row],[Functional Centre]])</f>
        <v>0</v>
      </c>
      <c r="Q66" s="22">
        <f>IF(Recovery_Helper[[#This Row],[Check Line]],IF(COUNTBLANK(Recovery_Helper[[#This Row],[TPBE]:[Functional Centre]])=0,-1*SUMIFS(Requests[Adj. Amount],Requests[TPBE],Recovery_Helper[[#This Row],[TPBE]],Requests[FC],Recovery_Helper[[#This Row],[Functional Centre]],Requests[Adj. Amount],"&lt;0"),0),0)</f>
        <v>0</v>
      </c>
      <c r="R66" s="22">
        <f>Recovery_Helper[[#This Row],[Forecasted Surplus]]-Recovery_Helper[[#This Row],[Surplus Usage Request]]</f>
        <v>0</v>
      </c>
      <c r="S66" s="33" t="str">
        <f>IF(Recovery_Helper[[#This Row],[Check Line]],Recovery_Helper[[#This Row],[Index]],"")</f>
        <v/>
      </c>
      <c r="T66" s="41" t="str">
        <f>IF(Recovery_Helper[[#This Row],[Check Line]],IF(Recovery_Helper[[#This Row],[Index]]&lt;=Surplus[[#Totals],[Add to Recoveries]],1,2),"")</f>
        <v/>
      </c>
      <c r="U66" s="41" t="str">
        <f>IF(Recovery_Helper[[#This Row],[Check Line]],COUNTIFS(Recovery_Helper[Table],Recovery_Helper[[#This Row],[Table]],Recovery_Helper[Index],"&lt;="&amp;Recovery_Helper[[#This Row],[Index]]),"")</f>
        <v/>
      </c>
      <c r="V66" s="41" t="str">
        <f>IF(Recovery_Helper[[#This Row],[Check Line]],SMALL(CHOOSE(Recovery_Helper[[#This Row],[Table]],Surplus[Add to Recoveries],Requests[Reallocation Type]),Recovery_Helper[[#This Row],[Table Index]]),"")</f>
        <v/>
      </c>
    </row>
    <row r="67" spans="12:22" hidden="1" outlineLevel="1" x14ac:dyDescent="0.35">
      <c r="L67" s="22" t="b">
        <f>Recovery_Helper[[#This Row],[Index]]&lt;=Count_Recoveries_New</f>
        <v>0</v>
      </c>
      <c r="M67">
        <f>ROW()-ROW(Recovery_Helper[[#Headers],[Index]])</f>
        <v>23</v>
      </c>
      <c r="N67" t="str">
        <f>IF(Recovery_Helper[[#This Row],[Check Line]],T(INDEX(CHOOSE(Recovery_Helper[[#This Row],[Table]],Surplus[TPBE],Requests[TPBE]),Recovery_Helper[[#This Row],[Table Unique Index]])),"")</f>
        <v/>
      </c>
      <c r="O67" t="str">
        <f>IF(Recovery_Helper[[#This Row],[Check Line]],T(INDEX(CHOOSE(Recovery_Helper[[#This Row],[Table]],Surplus[Functional Centre],Requests[FC]),Recovery_Helper[[#This Row],[Table Unique Index]])),"")</f>
        <v/>
      </c>
      <c r="P67" s="22">
        <f>SUMIFS(Surplus[Surplus],Surplus[TPBE],Recovery_Helper[[#This Row],[TPBE]],Surplus[Functional Centre],Recovery_Helper[[#This Row],[Functional Centre]])</f>
        <v>0</v>
      </c>
      <c r="Q67" s="22">
        <f>IF(Recovery_Helper[[#This Row],[Check Line]],IF(COUNTBLANK(Recovery_Helper[[#This Row],[TPBE]:[Functional Centre]])=0,-1*SUMIFS(Requests[Adj. Amount],Requests[TPBE],Recovery_Helper[[#This Row],[TPBE]],Requests[FC],Recovery_Helper[[#This Row],[Functional Centre]],Requests[Adj. Amount],"&lt;0"),0),0)</f>
        <v>0</v>
      </c>
      <c r="R67" s="22">
        <f>Recovery_Helper[[#This Row],[Forecasted Surplus]]-Recovery_Helper[[#This Row],[Surplus Usage Request]]</f>
        <v>0</v>
      </c>
      <c r="S67" s="33" t="str">
        <f>IF(Recovery_Helper[[#This Row],[Check Line]],Recovery_Helper[[#This Row],[Index]],"")</f>
        <v/>
      </c>
      <c r="T67" s="41" t="str">
        <f>IF(Recovery_Helper[[#This Row],[Check Line]],IF(Recovery_Helper[[#This Row],[Index]]&lt;=Surplus[[#Totals],[Add to Recoveries]],1,2),"")</f>
        <v/>
      </c>
      <c r="U67" s="41" t="str">
        <f>IF(Recovery_Helper[[#This Row],[Check Line]],COUNTIFS(Recovery_Helper[Table],Recovery_Helper[[#This Row],[Table]],Recovery_Helper[Index],"&lt;="&amp;Recovery_Helper[[#This Row],[Index]]),"")</f>
        <v/>
      </c>
      <c r="V67" s="41" t="str">
        <f>IF(Recovery_Helper[[#This Row],[Check Line]],SMALL(CHOOSE(Recovery_Helper[[#This Row],[Table]],Surplus[Add to Recoveries],Requests[Reallocation Type]),Recovery_Helper[[#This Row],[Table Index]]),"")</f>
        <v/>
      </c>
    </row>
    <row r="68" spans="12:22" collapsed="1" x14ac:dyDescent="0.35"/>
    <row r="69" spans="12:22" x14ac:dyDescent="0.35"/>
  </sheetData>
  <sheetProtection algorithmName="SHA-512" hashValue="AQqmoVdrcaB/SFO16wDLwzceGWDnVbRtRt+qA5caG2YzxasOLuckCmm7sA1LFRVUEfO4AQy52zExYx8zN+ymiA==" saltValue="t6byVqSTRG5MTvXUYga8Dg==" spinCount="100000" sheet="1" selectLockedCells="1"/>
  <mergeCells count="25">
    <mergeCell ref="W12:W14"/>
    <mergeCell ref="K7:K8"/>
    <mergeCell ref="L4:AD5"/>
    <mergeCell ref="O12:O14"/>
    <mergeCell ref="P12:P14"/>
    <mergeCell ref="V12:V14"/>
    <mergeCell ref="L12:L14"/>
    <mergeCell ref="M12:M14"/>
    <mergeCell ref="N12:N14"/>
    <mergeCell ref="L3:M3"/>
    <mergeCell ref="L7:AD7"/>
    <mergeCell ref="X12:X14"/>
    <mergeCell ref="Y12:Y14"/>
    <mergeCell ref="Z12:Z14"/>
    <mergeCell ref="AA12:AA14"/>
    <mergeCell ref="AB12:AB14"/>
    <mergeCell ref="AC12:AC14"/>
    <mergeCell ref="R12:R14"/>
    <mergeCell ref="S12:S14"/>
    <mergeCell ref="T12:T14"/>
    <mergeCell ref="U12:U14"/>
    <mergeCell ref="R11:AD11"/>
    <mergeCell ref="L11:M11"/>
    <mergeCell ref="AD12:AD14"/>
    <mergeCell ref="Q12:Q14"/>
  </mergeCells>
  <phoneticPr fontId="24" type="noConversion"/>
  <conditionalFormatting sqref="O16:O39">
    <cfRule type="expression" dxfId="88" priority="50">
      <formula>$O16&gt;$N16</formula>
    </cfRule>
  </conditionalFormatting>
  <conditionalFormatting sqref="P16:P39">
    <cfRule type="expression" dxfId="87" priority="1">
      <formula>AND($P16&lt;&gt;0,LEN($P16)&gt;=1)</formula>
    </cfRule>
  </conditionalFormatting>
  <conditionalFormatting sqref="Q41:Q43">
    <cfRule type="expression" dxfId="86" priority="5">
      <formula>$Q41&gt;$P41</formula>
    </cfRule>
  </conditionalFormatting>
  <conditionalFormatting sqref="R16:AD39">
    <cfRule type="expression" dxfId="85" priority="76">
      <formula>AND(_xlfn.IFNA(INDEX(INDIRECT("OHRS_M"),MATCH($M16,INDIRECT("OHRS_FC"),0),MATCH(R$10,INDIRECT("OHRSM_Index"),0)),"")="M",LEN(R16)&lt;&gt;0,$P16&lt;&gt;0)</formula>
    </cfRule>
    <cfRule type="expression" dxfId="84" priority="77">
      <formula>AND(_xlfn.IFNA(INDEX(INDIRECT("OHRS_M"),MATCH($M16,INDIRECT("OHRS_FC"),0),MATCH(R$10,INDIRECT("OHRSM_Index"),0)),"")="M",LEN(R16)=0,$P16&lt;&gt;0)</formula>
    </cfRule>
    <cfRule type="expression" dxfId="83" priority="78">
      <formula>AND(_xlfn.IFNA(INDEX(INDIRECT("OHRS_M"),MATCH($M16,INDIRECT("OHRS_FC"),0),MATCH(R$10,INDIRECT("OHRSM_Index"),0)),"")&lt;&gt;"M",$AG16)</formula>
    </cfRule>
  </conditionalFormatting>
  <conditionalFormatting sqref="R17:AD39">
    <cfRule type="expression" dxfId="82" priority="74">
      <formula>AND(_xlfn.IFNA(INDEX(INDIRECT("OHRS_M"),MATCH($M17,INDIRECT("OHRS_FC"),0),MATCH(R$12,INDIRECT("OHRSM_Index"),0)),"")="M",LEN(R17)&lt;&gt;0)</formula>
    </cfRule>
    <cfRule type="expression" dxfId="81" priority="75">
      <formula>AND(_xlfn.IFNA(INDEX(INDIRECT("OHRS_M"),MATCH($M17,INDIRECT("OHRS_FC"),0),MATCH(R$12,INDIRECT("OHRSM_Index"),0)),"")="M",LEN(R17)=0)</formula>
    </cfRule>
  </conditionalFormatting>
  <conditionalFormatting sqref="T41:AF43">
    <cfRule type="expression" dxfId="80" priority="72">
      <formula>AND(_xlfn.IFNA(INDEX(INDIRECT("OHRS_M"),MATCH($O41,INDIRECT("OHRS_FC"),0),MATCH(R$12,INDIRECT("OHRSM_Index"),0)),"")="M",LEN(T41)&lt;&gt;0)</formula>
    </cfRule>
    <cfRule type="expression" dxfId="79" priority="73">
      <formula>AND(_xlfn.IFNA(INDEX(INDIRECT("OHRS_M"),MATCH($O41,INDIRECT("OHRS_FC"),0),MATCH(R$12,INDIRECT("OHRSM_Index"),0)),"")="M",LEN(T41)=0)</formula>
    </cfRule>
  </conditionalFormatting>
  <pageMargins left="0.7" right="0.7" top="0.75" bottom="0.75" header="0.3" footer="0.3"/>
  <pageSetup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16"/>
  <sheetViews>
    <sheetView showGridLines="0" workbookViewId="0">
      <pane xSplit="2" ySplit="2" topLeftCell="C3" activePane="bottomRight" state="frozen"/>
      <selection pane="topRight" activeCell="C1" sqref="C1"/>
      <selection pane="bottomLeft" activeCell="A4" sqref="A4"/>
      <selection pane="bottomRight" activeCell="A3" sqref="A3:A217"/>
    </sheetView>
  </sheetViews>
  <sheetFormatPr defaultColWidth="0" defaultRowHeight="14.5" x14ac:dyDescent="0.35"/>
  <cols>
    <col min="1" max="1" width="36" customWidth="1"/>
    <col min="2" max="2" width="9.1796875" customWidth="1"/>
    <col min="3" max="16" width="7" customWidth="1"/>
    <col min="17" max="16384" width="9.1796875" hidden="1"/>
  </cols>
  <sheetData>
    <row r="1" spans="1:16" x14ac:dyDescent="0.35">
      <c r="C1" s="32">
        <v>1</v>
      </c>
      <c r="D1" s="32">
        <v>2</v>
      </c>
      <c r="E1" s="32">
        <v>3</v>
      </c>
      <c r="F1" s="32">
        <v>4</v>
      </c>
      <c r="G1" s="32">
        <v>5</v>
      </c>
      <c r="H1" s="32">
        <v>6</v>
      </c>
      <c r="I1" s="32">
        <v>7</v>
      </c>
      <c r="J1" s="32">
        <v>8</v>
      </c>
      <c r="K1" s="32">
        <v>9</v>
      </c>
      <c r="L1" s="32">
        <v>10</v>
      </c>
      <c r="M1" s="32">
        <v>11</v>
      </c>
      <c r="N1" s="32">
        <v>12</v>
      </c>
      <c r="O1" s="32">
        <v>13</v>
      </c>
      <c r="P1" s="32">
        <v>14</v>
      </c>
    </row>
    <row r="2" spans="1:16" ht="251" x14ac:dyDescent="0.35">
      <c r="A2" s="31" t="s">
        <v>73</v>
      </c>
      <c r="B2" s="31" t="s">
        <v>188</v>
      </c>
      <c r="C2" s="31" t="s">
        <v>110</v>
      </c>
      <c r="D2" s="31" t="s">
        <v>189</v>
      </c>
      <c r="E2" s="31" t="s">
        <v>190</v>
      </c>
      <c r="F2" s="31" t="s">
        <v>191</v>
      </c>
      <c r="G2" s="31" t="s">
        <v>192</v>
      </c>
      <c r="H2" s="31" t="s">
        <v>193</v>
      </c>
      <c r="I2" s="31" t="s">
        <v>116</v>
      </c>
      <c r="J2" s="31" t="s">
        <v>117</v>
      </c>
      <c r="K2" s="31" t="s">
        <v>194</v>
      </c>
      <c r="L2" s="31" t="s">
        <v>195</v>
      </c>
      <c r="M2" s="31" t="s">
        <v>196</v>
      </c>
      <c r="N2" s="31" t="s">
        <v>120</v>
      </c>
      <c r="O2" s="31" t="s">
        <v>121</v>
      </c>
      <c r="P2" s="31" t="s">
        <v>122</v>
      </c>
    </row>
    <row r="3" spans="1:16" x14ac:dyDescent="0.35">
      <c r="A3" t="s">
        <v>197</v>
      </c>
      <c r="B3" t="s">
        <v>198</v>
      </c>
      <c r="C3" s="32" t="s">
        <v>199</v>
      </c>
      <c r="D3" s="32"/>
      <c r="E3" s="32"/>
      <c r="F3" s="32"/>
      <c r="G3" s="32"/>
      <c r="H3" s="32"/>
      <c r="I3" s="32"/>
      <c r="J3" s="32"/>
      <c r="K3" s="32"/>
      <c r="L3" s="32" t="s">
        <v>199</v>
      </c>
      <c r="M3" s="32"/>
      <c r="N3" s="32"/>
      <c r="O3" s="32"/>
      <c r="P3" s="32"/>
    </row>
    <row r="4" spans="1:16" x14ac:dyDescent="0.35">
      <c r="A4" t="s">
        <v>200</v>
      </c>
      <c r="B4" t="s">
        <v>201</v>
      </c>
      <c r="C4" s="32" t="s">
        <v>199</v>
      </c>
      <c r="D4" s="32"/>
      <c r="E4" s="32"/>
      <c r="F4" s="32"/>
      <c r="G4" s="32"/>
      <c r="H4" s="32"/>
      <c r="I4" s="32"/>
      <c r="J4" s="32"/>
      <c r="K4" s="32"/>
      <c r="L4" s="32" t="s">
        <v>199</v>
      </c>
      <c r="M4" s="32"/>
      <c r="N4" s="32"/>
      <c r="O4" s="32"/>
      <c r="P4" s="32"/>
    </row>
    <row r="5" spans="1:16" x14ac:dyDescent="0.35">
      <c r="A5" t="s">
        <v>202</v>
      </c>
      <c r="B5" t="s">
        <v>203</v>
      </c>
      <c r="C5" s="32" t="s">
        <v>199</v>
      </c>
      <c r="D5" s="32"/>
      <c r="E5" s="32"/>
      <c r="F5" s="32"/>
      <c r="G5" s="32"/>
      <c r="H5" s="32"/>
      <c r="I5" s="32"/>
      <c r="J5" s="32"/>
      <c r="K5" s="32"/>
      <c r="L5" s="32" t="s">
        <v>199</v>
      </c>
      <c r="M5" s="32"/>
      <c r="N5" s="32"/>
      <c r="O5" s="32"/>
      <c r="P5" s="32"/>
    </row>
    <row r="6" spans="1:16" x14ac:dyDescent="0.35">
      <c r="A6" t="s">
        <v>204</v>
      </c>
      <c r="B6" t="s">
        <v>205</v>
      </c>
      <c r="C6" s="32" t="s">
        <v>199</v>
      </c>
      <c r="D6" s="32"/>
      <c r="E6" s="32"/>
      <c r="F6" s="32"/>
      <c r="G6" s="32"/>
      <c r="H6" s="32"/>
      <c r="I6" s="32"/>
      <c r="J6" s="32"/>
      <c r="K6" s="32"/>
      <c r="L6" s="32" t="s">
        <v>199</v>
      </c>
      <c r="M6" s="32"/>
      <c r="N6" s="32"/>
      <c r="O6" s="32"/>
      <c r="P6" s="32" t="s">
        <v>199</v>
      </c>
    </row>
    <row r="7" spans="1:16" x14ac:dyDescent="0.35">
      <c r="A7" t="s">
        <v>206</v>
      </c>
      <c r="B7" t="s">
        <v>207</v>
      </c>
      <c r="C7" s="32" t="s">
        <v>199</v>
      </c>
      <c r="D7" s="32"/>
      <c r="E7" s="32"/>
      <c r="F7" s="32"/>
      <c r="G7" s="32"/>
      <c r="H7" s="32"/>
      <c r="I7" s="32"/>
      <c r="J7" s="32"/>
      <c r="K7" s="32"/>
      <c r="L7" s="32" t="s">
        <v>199</v>
      </c>
      <c r="M7" s="32"/>
      <c r="N7" s="32"/>
      <c r="O7" s="32"/>
      <c r="P7" s="32"/>
    </row>
    <row r="8" spans="1:16" x14ac:dyDescent="0.35">
      <c r="A8" t="s">
        <v>208</v>
      </c>
      <c r="B8" t="s">
        <v>209</v>
      </c>
      <c r="C8" s="32" t="s">
        <v>199</v>
      </c>
      <c r="D8" s="32"/>
      <c r="E8" s="32"/>
      <c r="F8" s="32"/>
      <c r="G8" s="32"/>
      <c r="H8" s="32"/>
      <c r="I8" s="32"/>
      <c r="J8" s="32"/>
      <c r="K8" s="32"/>
      <c r="L8" s="32" t="s">
        <v>199</v>
      </c>
      <c r="M8" s="32"/>
      <c r="N8" s="32"/>
      <c r="O8" s="32"/>
      <c r="P8" s="32"/>
    </row>
    <row r="9" spans="1:16" x14ac:dyDescent="0.35">
      <c r="A9" t="s">
        <v>210</v>
      </c>
      <c r="B9" t="s">
        <v>211</v>
      </c>
      <c r="C9" s="32" t="s">
        <v>199</v>
      </c>
      <c r="D9" s="32"/>
      <c r="E9" s="32"/>
      <c r="F9" s="32"/>
      <c r="G9" s="32"/>
      <c r="H9" s="32"/>
      <c r="I9" s="32"/>
      <c r="J9" s="32"/>
      <c r="K9" s="32"/>
      <c r="L9" s="32" t="s">
        <v>199</v>
      </c>
      <c r="M9" s="32"/>
      <c r="N9" s="32"/>
      <c r="O9" s="32"/>
      <c r="P9" s="32"/>
    </row>
    <row r="10" spans="1:16" x14ac:dyDescent="0.35">
      <c r="A10" t="s">
        <v>212</v>
      </c>
      <c r="B10" t="s">
        <v>213</v>
      </c>
      <c r="C10" s="32" t="s">
        <v>199</v>
      </c>
      <c r="D10" s="32" t="s">
        <v>199</v>
      </c>
      <c r="E10" s="32" t="s">
        <v>199</v>
      </c>
      <c r="F10" s="32"/>
      <c r="G10" s="32"/>
      <c r="H10" s="32" t="s">
        <v>199</v>
      </c>
      <c r="I10" s="32"/>
      <c r="J10" s="32" t="s">
        <v>199</v>
      </c>
      <c r="K10" s="32"/>
      <c r="L10" s="32" t="s">
        <v>199</v>
      </c>
      <c r="M10" s="32" t="s">
        <v>199</v>
      </c>
      <c r="N10" s="32" t="s">
        <v>199</v>
      </c>
      <c r="O10" s="32" t="s">
        <v>199</v>
      </c>
      <c r="P10" s="32"/>
    </row>
    <row r="11" spans="1:16" x14ac:dyDescent="0.35">
      <c r="A11" t="s">
        <v>214</v>
      </c>
      <c r="B11" t="s">
        <v>215</v>
      </c>
      <c r="C11" s="32" t="s">
        <v>199</v>
      </c>
      <c r="D11" s="32" t="s">
        <v>199</v>
      </c>
      <c r="E11" s="32" t="s">
        <v>199</v>
      </c>
      <c r="F11" s="32"/>
      <c r="G11" s="32"/>
      <c r="H11" s="32" t="s">
        <v>199</v>
      </c>
      <c r="I11" s="32"/>
      <c r="J11" s="32" t="s">
        <v>199</v>
      </c>
      <c r="K11" s="32"/>
      <c r="L11" s="32" t="s">
        <v>199</v>
      </c>
      <c r="M11" s="32" t="s">
        <v>199</v>
      </c>
      <c r="N11" s="32"/>
      <c r="O11" s="32"/>
      <c r="P11" s="32"/>
    </row>
    <row r="12" spans="1:16" x14ac:dyDescent="0.35">
      <c r="A12" t="s">
        <v>216</v>
      </c>
      <c r="B12" t="s">
        <v>217</v>
      </c>
      <c r="C12" s="32" t="s">
        <v>199</v>
      </c>
      <c r="D12" s="32" t="s">
        <v>199</v>
      </c>
      <c r="E12" s="32" t="s">
        <v>199</v>
      </c>
      <c r="F12" s="32"/>
      <c r="G12" s="32"/>
      <c r="H12" s="32" t="s">
        <v>199</v>
      </c>
      <c r="I12" s="32"/>
      <c r="J12" s="32" t="s">
        <v>199</v>
      </c>
      <c r="K12" s="32"/>
      <c r="L12" s="32" t="s">
        <v>199</v>
      </c>
      <c r="M12" s="32" t="s">
        <v>199</v>
      </c>
      <c r="N12" s="32" t="s">
        <v>199</v>
      </c>
      <c r="O12" s="32" t="s">
        <v>199</v>
      </c>
      <c r="P12" s="32" t="s">
        <v>199</v>
      </c>
    </row>
    <row r="13" spans="1:16" x14ac:dyDescent="0.35">
      <c r="A13" t="s">
        <v>218</v>
      </c>
      <c r="B13" t="s">
        <v>219</v>
      </c>
      <c r="C13" s="32" t="s">
        <v>199</v>
      </c>
      <c r="D13" s="32" t="s">
        <v>199</v>
      </c>
      <c r="E13" s="32" t="s">
        <v>199</v>
      </c>
      <c r="F13" s="32"/>
      <c r="G13" s="32"/>
      <c r="H13" s="32" t="s">
        <v>199</v>
      </c>
      <c r="I13" s="32"/>
      <c r="J13" s="32" t="s">
        <v>199</v>
      </c>
      <c r="K13" s="32"/>
      <c r="L13" s="32" t="s">
        <v>199</v>
      </c>
      <c r="M13" s="32" t="s">
        <v>199</v>
      </c>
      <c r="N13" s="32" t="s">
        <v>199</v>
      </c>
      <c r="O13" s="32" t="s">
        <v>199</v>
      </c>
      <c r="P13" s="32"/>
    </row>
    <row r="14" spans="1:16" x14ac:dyDescent="0.35">
      <c r="A14" t="s">
        <v>220</v>
      </c>
      <c r="B14" t="s">
        <v>221</v>
      </c>
      <c r="C14" s="32" t="s">
        <v>199</v>
      </c>
      <c r="D14" s="32" t="s">
        <v>199</v>
      </c>
      <c r="E14" s="32" t="s">
        <v>199</v>
      </c>
      <c r="F14" s="32"/>
      <c r="G14" s="32"/>
      <c r="H14" s="32" t="s">
        <v>199</v>
      </c>
      <c r="I14" s="32"/>
      <c r="J14" s="32" t="s">
        <v>199</v>
      </c>
      <c r="K14" s="32"/>
      <c r="L14" s="32" t="s">
        <v>199</v>
      </c>
      <c r="M14" s="32" t="s">
        <v>199</v>
      </c>
      <c r="N14" s="32" t="s">
        <v>199</v>
      </c>
      <c r="O14" s="32" t="s">
        <v>199</v>
      </c>
      <c r="P14" s="32"/>
    </row>
    <row r="15" spans="1:16" x14ac:dyDescent="0.35">
      <c r="A15" t="s">
        <v>222</v>
      </c>
      <c r="B15" t="s">
        <v>223</v>
      </c>
      <c r="C15" s="32" t="s">
        <v>199</v>
      </c>
      <c r="D15" s="32" t="s">
        <v>199</v>
      </c>
      <c r="E15" s="32" t="s">
        <v>199</v>
      </c>
      <c r="F15" s="32"/>
      <c r="G15" s="32"/>
      <c r="H15" s="32" t="s">
        <v>199</v>
      </c>
      <c r="I15" s="32"/>
      <c r="J15" s="32" t="s">
        <v>199</v>
      </c>
      <c r="K15" s="32"/>
      <c r="L15" s="32" t="s">
        <v>199</v>
      </c>
      <c r="M15" s="32" t="s">
        <v>199</v>
      </c>
      <c r="N15" s="32" t="s">
        <v>199</v>
      </c>
      <c r="O15" s="32" t="s">
        <v>199</v>
      </c>
      <c r="P15" s="32"/>
    </row>
    <row r="16" spans="1:16" x14ac:dyDescent="0.35">
      <c r="A16" t="s">
        <v>224</v>
      </c>
      <c r="B16" t="s">
        <v>225</v>
      </c>
      <c r="C16" s="32" t="s">
        <v>199</v>
      </c>
      <c r="D16" s="32" t="s">
        <v>199</v>
      </c>
      <c r="E16" s="32"/>
      <c r="F16" s="32"/>
      <c r="G16" s="32"/>
      <c r="H16" s="32" t="s">
        <v>199</v>
      </c>
      <c r="I16" s="32" t="s">
        <v>199</v>
      </c>
      <c r="J16" s="32"/>
      <c r="K16" s="32"/>
      <c r="L16" s="32" t="s">
        <v>199</v>
      </c>
      <c r="M16" s="32"/>
      <c r="N16" s="32" t="s">
        <v>199</v>
      </c>
      <c r="O16" s="32" t="s">
        <v>199</v>
      </c>
      <c r="P16" s="32"/>
    </row>
    <row r="17" spans="1:16" x14ac:dyDescent="0.35">
      <c r="A17" t="s">
        <v>226</v>
      </c>
      <c r="B17" t="s">
        <v>227</v>
      </c>
      <c r="C17" s="32" t="s">
        <v>199</v>
      </c>
      <c r="D17" s="32"/>
      <c r="E17" s="32" t="s">
        <v>199</v>
      </c>
      <c r="F17" s="32"/>
      <c r="G17" s="32"/>
      <c r="H17" s="32" t="s">
        <v>199</v>
      </c>
      <c r="I17" s="32"/>
      <c r="J17" s="32"/>
      <c r="K17" s="32"/>
      <c r="L17" s="32" t="s">
        <v>199</v>
      </c>
      <c r="M17" s="32"/>
      <c r="N17" s="32"/>
      <c r="O17" s="32"/>
      <c r="P17" s="32"/>
    </row>
    <row r="18" spans="1:16" x14ac:dyDescent="0.35">
      <c r="A18" t="s">
        <v>228</v>
      </c>
      <c r="B18" t="s">
        <v>229</v>
      </c>
      <c r="C18" s="32" t="s">
        <v>199</v>
      </c>
      <c r="D18" s="32"/>
      <c r="E18" s="32" t="s">
        <v>199</v>
      </c>
      <c r="F18" s="32"/>
      <c r="G18" s="32"/>
      <c r="H18" s="32" t="s">
        <v>199</v>
      </c>
      <c r="I18" s="32"/>
      <c r="J18" s="32" t="s">
        <v>199</v>
      </c>
      <c r="K18" s="32"/>
      <c r="L18" s="32" t="s">
        <v>199</v>
      </c>
      <c r="M18" s="32" t="s">
        <v>199</v>
      </c>
      <c r="N18" s="32" t="s">
        <v>199</v>
      </c>
      <c r="O18" s="32" t="s">
        <v>199</v>
      </c>
      <c r="P18" s="32"/>
    </row>
    <row r="19" spans="1:16" x14ac:dyDescent="0.35">
      <c r="A19" t="s">
        <v>230</v>
      </c>
      <c r="B19" t="s">
        <v>231</v>
      </c>
      <c r="C19" s="32" t="s">
        <v>199</v>
      </c>
      <c r="D19" s="32" t="s">
        <v>199</v>
      </c>
      <c r="E19" s="32" t="s">
        <v>199</v>
      </c>
      <c r="F19" s="32"/>
      <c r="G19" s="32"/>
      <c r="H19" s="32" t="s">
        <v>199</v>
      </c>
      <c r="I19" s="32"/>
      <c r="J19" s="32" t="s">
        <v>199</v>
      </c>
      <c r="K19" s="32"/>
      <c r="L19" s="32" t="s">
        <v>199</v>
      </c>
      <c r="M19" s="32" t="s">
        <v>199</v>
      </c>
      <c r="N19" s="32" t="s">
        <v>199</v>
      </c>
      <c r="O19" s="32" t="s">
        <v>199</v>
      </c>
      <c r="P19" s="32"/>
    </row>
    <row r="20" spans="1:16" x14ac:dyDescent="0.35">
      <c r="A20" t="s">
        <v>232</v>
      </c>
      <c r="B20" t="s">
        <v>233</v>
      </c>
      <c r="C20" s="32" t="s">
        <v>199</v>
      </c>
      <c r="D20" s="32"/>
      <c r="E20" s="32" t="s">
        <v>199</v>
      </c>
      <c r="F20" s="32"/>
      <c r="G20" s="32"/>
      <c r="H20" s="32" t="s">
        <v>199</v>
      </c>
      <c r="I20" s="32"/>
      <c r="J20" s="32" t="s">
        <v>199</v>
      </c>
      <c r="K20" s="32"/>
      <c r="L20" s="32" t="s">
        <v>199</v>
      </c>
      <c r="M20" s="32" t="s">
        <v>199</v>
      </c>
      <c r="N20" s="32" t="s">
        <v>199</v>
      </c>
      <c r="O20" s="32" t="s">
        <v>199</v>
      </c>
      <c r="P20" s="32"/>
    </row>
    <row r="21" spans="1:16" x14ac:dyDescent="0.35">
      <c r="A21" t="s">
        <v>234</v>
      </c>
      <c r="B21" t="s">
        <v>235</v>
      </c>
      <c r="C21" s="32" t="s">
        <v>199</v>
      </c>
      <c r="D21" s="32"/>
      <c r="E21" s="32" t="s">
        <v>199</v>
      </c>
      <c r="F21" s="32"/>
      <c r="G21" s="32"/>
      <c r="H21" s="32" t="s">
        <v>199</v>
      </c>
      <c r="I21" s="32"/>
      <c r="J21" s="32" t="s">
        <v>199</v>
      </c>
      <c r="K21" s="32"/>
      <c r="L21" s="32" t="s">
        <v>199</v>
      </c>
      <c r="M21" s="32" t="s">
        <v>199</v>
      </c>
      <c r="N21" s="32" t="s">
        <v>199</v>
      </c>
      <c r="O21" s="32" t="s">
        <v>199</v>
      </c>
      <c r="P21" s="32"/>
    </row>
    <row r="22" spans="1:16" x14ac:dyDescent="0.35">
      <c r="A22" t="s">
        <v>236</v>
      </c>
      <c r="B22" t="s">
        <v>237</v>
      </c>
      <c r="C22" s="32" t="s">
        <v>199</v>
      </c>
      <c r="D22" s="32"/>
      <c r="E22" s="32" t="s">
        <v>199</v>
      </c>
      <c r="F22" s="32"/>
      <c r="G22" s="32"/>
      <c r="H22" s="32" t="s">
        <v>199</v>
      </c>
      <c r="I22" s="32"/>
      <c r="J22" s="32" t="s">
        <v>199</v>
      </c>
      <c r="K22" s="32"/>
      <c r="L22" s="32" t="s">
        <v>199</v>
      </c>
      <c r="M22" s="32" t="s">
        <v>199</v>
      </c>
      <c r="N22" s="32" t="s">
        <v>199</v>
      </c>
      <c r="O22" s="32" t="s">
        <v>199</v>
      </c>
      <c r="P22" s="32"/>
    </row>
    <row r="23" spans="1:16" x14ac:dyDescent="0.35">
      <c r="A23" t="s">
        <v>238</v>
      </c>
      <c r="B23" t="s">
        <v>239</v>
      </c>
      <c r="C23" s="32" t="s">
        <v>199</v>
      </c>
      <c r="D23" s="32"/>
      <c r="E23" s="32" t="s">
        <v>199</v>
      </c>
      <c r="F23" s="32"/>
      <c r="G23" s="32"/>
      <c r="H23" s="32" t="s">
        <v>199</v>
      </c>
      <c r="I23" s="32"/>
      <c r="J23" s="32" t="s">
        <v>199</v>
      </c>
      <c r="K23" s="32"/>
      <c r="L23" s="32" t="s">
        <v>199</v>
      </c>
      <c r="M23" s="32" t="s">
        <v>199</v>
      </c>
      <c r="N23" s="32" t="s">
        <v>199</v>
      </c>
      <c r="O23" s="32" t="s">
        <v>199</v>
      </c>
      <c r="P23" s="32"/>
    </row>
    <row r="24" spans="1:16" x14ac:dyDescent="0.35">
      <c r="A24" t="s">
        <v>240</v>
      </c>
      <c r="B24" t="s">
        <v>241</v>
      </c>
      <c r="C24" s="32" t="s">
        <v>199</v>
      </c>
      <c r="D24" s="32"/>
      <c r="E24" s="32" t="s">
        <v>199</v>
      </c>
      <c r="F24" s="32"/>
      <c r="G24" s="32"/>
      <c r="H24" s="32" t="s">
        <v>199</v>
      </c>
      <c r="I24" s="32"/>
      <c r="J24" s="32" t="s">
        <v>199</v>
      </c>
      <c r="K24" s="32"/>
      <c r="L24" s="32" t="s">
        <v>199</v>
      </c>
      <c r="M24" s="32" t="s">
        <v>199</v>
      </c>
      <c r="N24" s="32" t="s">
        <v>199</v>
      </c>
      <c r="O24" s="32" t="s">
        <v>199</v>
      </c>
      <c r="P24" s="32"/>
    </row>
    <row r="25" spans="1:16" x14ac:dyDescent="0.35">
      <c r="A25" t="s">
        <v>242</v>
      </c>
      <c r="B25" t="s">
        <v>243</v>
      </c>
      <c r="C25" s="32" t="s">
        <v>199</v>
      </c>
      <c r="D25" s="32"/>
      <c r="E25" s="32" t="s">
        <v>199</v>
      </c>
      <c r="F25" s="32"/>
      <c r="G25" s="32"/>
      <c r="H25" s="32" t="s">
        <v>199</v>
      </c>
      <c r="I25" s="32"/>
      <c r="J25" s="32" t="s">
        <v>199</v>
      </c>
      <c r="K25" s="32"/>
      <c r="L25" s="32" t="s">
        <v>199</v>
      </c>
      <c r="M25" s="32" t="s">
        <v>199</v>
      </c>
      <c r="N25" s="32" t="s">
        <v>199</v>
      </c>
      <c r="O25" s="32" t="s">
        <v>199</v>
      </c>
      <c r="P25" s="32"/>
    </row>
    <row r="26" spans="1:16" x14ac:dyDescent="0.35">
      <c r="A26" t="s">
        <v>244</v>
      </c>
      <c r="B26" t="s">
        <v>245</v>
      </c>
      <c r="C26" s="32" t="s">
        <v>199</v>
      </c>
      <c r="D26" s="32"/>
      <c r="E26" s="32" t="s">
        <v>199</v>
      </c>
      <c r="F26" s="32"/>
      <c r="G26" s="32"/>
      <c r="H26" s="32" t="s">
        <v>199</v>
      </c>
      <c r="I26" s="32"/>
      <c r="J26" s="32" t="s">
        <v>199</v>
      </c>
      <c r="K26" s="32"/>
      <c r="L26" s="32" t="s">
        <v>199</v>
      </c>
      <c r="M26" s="32" t="s">
        <v>199</v>
      </c>
      <c r="N26" s="32" t="s">
        <v>199</v>
      </c>
      <c r="O26" s="32" t="s">
        <v>199</v>
      </c>
      <c r="P26" s="32"/>
    </row>
    <row r="27" spans="1:16" x14ac:dyDescent="0.35">
      <c r="A27" t="s">
        <v>246</v>
      </c>
      <c r="B27" t="s">
        <v>247</v>
      </c>
      <c r="C27" s="32" t="s">
        <v>199</v>
      </c>
      <c r="D27" s="32"/>
      <c r="E27" s="32" t="s">
        <v>199</v>
      </c>
      <c r="F27" s="32"/>
      <c r="G27" s="32"/>
      <c r="H27" s="32" t="s">
        <v>199</v>
      </c>
      <c r="I27" s="32"/>
      <c r="J27" s="32" t="s">
        <v>199</v>
      </c>
      <c r="K27" s="32"/>
      <c r="L27" s="32" t="s">
        <v>199</v>
      </c>
      <c r="M27" s="32" t="s">
        <v>199</v>
      </c>
      <c r="N27" s="32" t="s">
        <v>199</v>
      </c>
      <c r="O27" s="32" t="s">
        <v>199</v>
      </c>
      <c r="P27" s="32"/>
    </row>
    <row r="28" spans="1:16" x14ac:dyDescent="0.35">
      <c r="A28" t="s">
        <v>248</v>
      </c>
      <c r="B28" t="s">
        <v>249</v>
      </c>
      <c r="C28" s="32" t="s">
        <v>199</v>
      </c>
      <c r="D28" s="32"/>
      <c r="E28" s="32" t="s">
        <v>199</v>
      </c>
      <c r="F28" s="32"/>
      <c r="G28" s="32"/>
      <c r="H28" s="32" t="s">
        <v>199</v>
      </c>
      <c r="I28" s="32"/>
      <c r="J28" s="32" t="s">
        <v>199</v>
      </c>
      <c r="K28" s="32"/>
      <c r="L28" s="32" t="s">
        <v>199</v>
      </c>
      <c r="M28" s="32" t="s">
        <v>199</v>
      </c>
      <c r="N28" s="32" t="s">
        <v>199</v>
      </c>
      <c r="O28" s="32" t="s">
        <v>199</v>
      </c>
      <c r="P28" s="32"/>
    </row>
    <row r="29" spans="1:16" x14ac:dyDescent="0.35">
      <c r="A29" t="s">
        <v>250</v>
      </c>
      <c r="B29" t="s">
        <v>251</v>
      </c>
      <c r="C29" s="32" t="s">
        <v>199</v>
      </c>
      <c r="D29" s="32"/>
      <c r="E29" s="32" t="s">
        <v>199</v>
      </c>
      <c r="F29" s="32"/>
      <c r="G29" s="32"/>
      <c r="H29" s="32" t="s">
        <v>199</v>
      </c>
      <c r="I29" s="32"/>
      <c r="J29" s="32" t="s">
        <v>199</v>
      </c>
      <c r="K29" s="32"/>
      <c r="L29" s="32" t="s">
        <v>199</v>
      </c>
      <c r="M29" s="32" t="s">
        <v>199</v>
      </c>
      <c r="N29" s="32" t="s">
        <v>199</v>
      </c>
      <c r="O29" s="32" t="s">
        <v>199</v>
      </c>
      <c r="P29" s="32"/>
    </row>
    <row r="30" spans="1:16" x14ac:dyDescent="0.35">
      <c r="A30" t="s">
        <v>252</v>
      </c>
      <c r="B30" t="s">
        <v>253</v>
      </c>
      <c r="C30" s="32" t="s">
        <v>199</v>
      </c>
      <c r="D30" s="32"/>
      <c r="E30" s="32" t="s">
        <v>199</v>
      </c>
      <c r="F30" s="32"/>
      <c r="G30" s="32"/>
      <c r="H30" s="32" t="s">
        <v>199</v>
      </c>
      <c r="I30" s="32"/>
      <c r="J30" s="32" t="s">
        <v>199</v>
      </c>
      <c r="K30" s="32"/>
      <c r="L30" s="32" t="s">
        <v>199</v>
      </c>
      <c r="M30" s="32" t="s">
        <v>199</v>
      </c>
      <c r="N30" s="32" t="s">
        <v>199</v>
      </c>
      <c r="O30" s="32" t="s">
        <v>199</v>
      </c>
      <c r="P30" s="32"/>
    </row>
    <row r="31" spans="1:16" x14ac:dyDescent="0.35">
      <c r="A31" t="s">
        <v>254</v>
      </c>
      <c r="B31" t="s">
        <v>255</v>
      </c>
      <c r="C31" s="32" t="s">
        <v>199</v>
      </c>
      <c r="D31" s="32"/>
      <c r="E31" s="32" t="s">
        <v>199</v>
      </c>
      <c r="F31" s="32"/>
      <c r="G31" s="32"/>
      <c r="H31" s="32" t="s">
        <v>199</v>
      </c>
      <c r="I31" s="32"/>
      <c r="J31" s="32" t="s">
        <v>199</v>
      </c>
      <c r="K31" s="32"/>
      <c r="L31" s="32" t="s">
        <v>199</v>
      </c>
      <c r="M31" s="32" t="s">
        <v>199</v>
      </c>
      <c r="N31" s="32" t="s">
        <v>199</v>
      </c>
      <c r="O31" s="32" t="s">
        <v>199</v>
      </c>
      <c r="P31" s="32"/>
    </row>
    <row r="32" spans="1:16" x14ac:dyDescent="0.35">
      <c r="A32" t="s">
        <v>256</v>
      </c>
      <c r="B32" t="s">
        <v>257</v>
      </c>
      <c r="C32" s="32" t="s">
        <v>199</v>
      </c>
      <c r="D32" s="32"/>
      <c r="E32" s="32" t="s">
        <v>199</v>
      </c>
      <c r="F32" s="32"/>
      <c r="G32" s="32"/>
      <c r="H32" s="32" t="s">
        <v>199</v>
      </c>
      <c r="I32" s="32"/>
      <c r="J32" s="32" t="s">
        <v>199</v>
      </c>
      <c r="K32" s="32"/>
      <c r="L32" s="32" t="s">
        <v>199</v>
      </c>
      <c r="M32" s="32" t="s">
        <v>199</v>
      </c>
      <c r="N32" s="32" t="s">
        <v>199</v>
      </c>
      <c r="O32" s="32" t="s">
        <v>199</v>
      </c>
      <c r="P32" s="32"/>
    </row>
    <row r="33" spans="1:16" x14ac:dyDescent="0.35">
      <c r="A33" t="s">
        <v>258</v>
      </c>
      <c r="B33" t="s">
        <v>259</v>
      </c>
      <c r="C33" s="32" t="s">
        <v>199</v>
      </c>
      <c r="D33" s="32"/>
      <c r="E33" s="32" t="s">
        <v>199</v>
      </c>
      <c r="F33" s="32"/>
      <c r="G33" s="32"/>
      <c r="H33" s="32" t="s">
        <v>199</v>
      </c>
      <c r="I33" s="32"/>
      <c r="J33" s="32" t="s">
        <v>199</v>
      </c>
      <c r="K33" s="32"/>
      <c r="L33" s="32" t="s">
        <v>199</v>
      </c>
      <c r="M33" s="32" t="s">
        <v>199</v>
      </c>
      <c r="N33" s="32" t="s">
        <v>199</v>
      </c>
      <c r="O33" s="32" t="s">
        <v>199</v>
      </c>
      <c r="P33" s="32"/>
    </row>
    <row r="34" spans="1:16" x14ac:dyDescent="0.35">
      <c r="A34" t="s">
        <v>260</v>
      </c>
      <c r="B34" t="s">
        <v>261</v>
      </c>
      <c r="C34" s="32" t="s">
        <v>199</v>
      </c>
      <c r="D34" s="32"/>
      <c r="E34" s="32" t="s">
        <v>199</v>
      </c>
      <c r="F34" s="32"/>
      <c r="G34" s="32"/>
      <c r="H34" s="32" t="s">
        <v>199</v>
      </c>
      <c r="I34" s="32"/>
      <c r="J34" s="32" t="s">
        <v>199</v>
      </c>
      <c r="K34" s="32"/>
      <c r="L34" s="32" t="s">
        <v>199</v>
      </c>
      <c r="M34" s="32" t="s">
        <v>199</v>
      </c>
      <c r="N34" s="32" t="s">
        <v>199</v>
      </c>
      <c r="O34" s="32" t="s">
        <v>199</v>
      </c>
      <c r="P34" s="32"/>
    </row>
    <row r="35" spans="1:16" x14ac:dyDescent="0.35">
      <c r="A35" t="s">
        <v>262</v>
      </c>
      <c r="B35" t="s">
        <v>263</v>
      </c>
      <c r="C35" s="32" t="s">
        <v>199</v>
      </c>
      <c r="D35" s="32"/>
      <c r="E35" s="32" t="s">
        <v>199</v>
      </c>
      <c r="F35" s="32"/>
      <c r="G35" s="32"/>
      <c r="H35" s="32" t="s">
        <v>199</v>
      </c>
      <c r="I35" s="32"/>
      <c r="J35" s="32" t="s">
        <v>199</v>
      </c>
      <c r="K35" s="32"/>
      <c r="L35" s="32" t="s">
        <v>199</v>
      </c>
      <c r="M35" s="32" t="s">
        <v>199</v>
      </c>
      <c r="N35" s="32" t="s">
        <v>199</v>
      </c>
      <c r="O35" s="32" t="s">
        <v>199</v>
      </c>
      <c r="P35" s="32"/>
    </row>
    <row r="36" spans="1:16" x14ac:dyDescent="0.35">
      <c r="A36" t="s">
        <v>264</v>
      </c>
      <c r="B36" t="s">
        <v>265</v>
      </c>
      <c r="C36" s="32" t="s">
        <v>199</v>
      </c>
      <c r="D36" s="32"/>
      <c r="E36" s="32" t="s">
        <v>199</v>
      </c>
      <c r="F36" s="32"/>
      <c r="G36" s="32"/>
      <c r="H36" s="32" t="s">
        <v>199</v>
      </c>
      <c r="I36" s="32"/>
      <c r="J36" s="32" t="s">
        <v>199</v>
      </c>
      <c r="K36" s="32"/>
      <c r="L36" s="32" t="s">
        <v>199</v>
      </c>
      <c r="M36" s="32" t="s">
        <v>199</v>
      </c>
      <c r="N36" s="32" t="s">
        <v>199</v>
      </c>
      <c r="O36" s="32" t="s">
        <v>199</v>
      </c>
      <c r="P36" s="32"/>
    </row>
    <row r="37" spans="1:16" x14ac:dyDescent="0.35">
      <c r="A37" t="s">
        <v>266</v>
      </c>
      <c r="B37" t="s">
        <v>267</v>
      </c>
      <c r="C37" s="32" t="s">
        <v>199</v>
      </c>
      <c r="D37" s="32" t="s">
        <v>199</v>
      </c>
      <c r="E37" s="32"/>
      <c r="F37" s="32"/>
      <c r="G37" s="32"/>
      <c r="H37" s="32" t="s">
        <v>199</v>
      </c>
      <c r="I37" s="32"/>
      <c r="J37" s="32"/>
      <c r="K37" s="32"/>
      <c r="L37" s="32" t="s">
        <v>199</v>
      </c>
      <c r="M37" s="32"/>
      <c r="N37" s="32" t="s">
        <v>199</v>
      </c>
      <c r="O37" s="32"/>
      <c r="P37" s="32"/>
    </row>
    <row r="38" spans="1:16" x14ac:dyDescent="0.35">
      <c r="A38" t="s">
        <v>268</v>
      </c>
      <c r="B38" t="s">
        <v>269</v>
      </c>
      <c r="C38" s="32" t="s">
        <v>199</v>
      </c>
      <c r="D38" s="32"/>
      <c r="E38" s="32"/>
      <c r="F38" s="32"/>
      <c r="G38" s="32"/>
      <c r="H38" s="32"/>
      <c r="I38" s="32"/>
      <c r="J38" s="32"/>
      <c r="K38" s="32"/>
      <c r="L38" s="32" t="s">
        <v>199</v>
      </c>
      <c r="M38" s="32"/>
      <c r="N38" s="32"/>
      <c r="O38" s="32"/>
      <c r="P38" s="32"/>
    </row>
    <row r="39" spans="1:16" x14ac:dyDescent="0.35">
      <c r="A39" t="s">
        <v>270</v>
      </c>
      <c r="B39" t="s">
        <v>271</v>
      </c>
      <c r="C39" s="32" t="s">
        <v>199</v>
      </c>
      <c r="D39" s="32" t="s">
        <v>199</v>
      </c>
      <c r="E39" s="32" t="s">
        <v>199</v>
      </c>
      <c r="F39" s="32"/>
      <c r="G39" s="32"/>
      <c r="H39" s="32" t="s">
        <v>199</v>
      </c>
      <c r="I39" s="32"/>
      <c r="J39" s="32" t="s">
        <v>199</v>
      </c>
      <c r="K39" s="32"/>
      <c r="L39" s="32" t="s">
        <v>199</v>
      </c>
      <c r="M39" s="32" t="s">
        <v>199</v>
      </c>
      <c r="N39" s="32" t="s">
        <v>199</v>
      </c>
      <c r="O39" s="32" t="s">
        <v>199</v>
      </c>
      <c r="P39" s="32" t="s">
        <v>199</v>
      </c>
    </row>
    <row r="40" spans="1:16" x14ac:dyDescent="0.35">
      <c r="A40" t="s">
        <v>272</v>
      </c>
      <c r="B40" t="s">
        <v>273</v>
      </c>
      <c r="C40" s="32" t="s">
        <v>199</v>
      </c>
      <c r="D40" s="32" t="s">
        <v>199</v>
      </c>
      <c r="E40" s="32" t="s">
        <v>199</v>
      </c>
      <c r="F40" s="32"/>
      <c r="G40" s="32"/>
      <c r="H40" s="32" t="s">
        <v>199</v>
      </c>
      <c r="I40" s="32"/>
      <c r="J40" s="32" t="s">
        <v>199</v>
      </c>
      <c r="K40" s="32"/>
      <c r="L40" s="32" t="s">
        <v>199</v>
      </c>
      <c r="M40" s="32" t="s">
        <v>199</v>
      </c>
      <c r="N40" s="32" t="s">
        <v>199</v>
      </c>
      <c r="O40" s="32" t="s">
        <v>199</v>
      </c>
      <c r="P40" s="32" t="s">
        <v>199</v>
      </c>
    </row>
    <row r="41" spans="1:16" x14ac:dyDescent="0.35">
      <c r="A41" t="s">
        <v>274</v>
      </c>
      <c r="B41" t="s">
        <v>275</v>
      </c>
      <c r="C41" s="32" t="s">
        <v>199</v>
      </c>
      <c r="D41" s="32" t="s">
        <v>199</v>
      </c>
      <c r="E41" s="32" t="s">
        <v>199</v>
      </c>
      <c r="F41" s="32"/>
      <c r="G41" s="32"/>
      <c r="H41" s="32" t="s">
        <v>199</v>
      </c>
      <c r="I41" s="32"/>
      <c r="J41" s="32" t="s">
        <v>199</v>
      </c>
      <c r="K41" s="32"/>
      <c r="L41" s="32" t="s">
        <v>199</v>
      </c>
      <c r="M41" s="32" t="s">
        <v>199</v>
      </c>
      <c r="N41" s="32" t="s">
        <v>199</v>
      </c>
      <c r="O41" s="32" t="s">
        <v>199</v>
      </c>
      <c r="P41" s="32" t="s">
        <v>199</v>
      </c>
    </row>
    <row r="42" spans="1:16" x14ac:dyDescent="0.35">
      <c r="A42" t="s">
        <v>276</v>
      </c>
      <c r="B42" t="s">
        <v>277</v>
      </c>
      <c r="C42" s="32" t="s">
        <v>199</v>
      </c>
      <c r="D42" s="32" t="s">
        <v>199</v>
      </c>
      <c r="E42" s="32" t="s">
        <v>199</v>
      </c>
      <c r="F42" s="32"/>
      <c r="G42" s="32"/>
      <c r="H42" s="32" t="s">
        <v>199</v>
      </c>
      <c r="I42" s="32" t="s">
        <v>199</v>
      </c>
      <c r="J42" s="32" t="s">
        <v>199</v>
      </c>
      <c r="K42" s="32"/>
      <c r="L42" s="32" t="s">
        <v>199</v>
      </c>
      <c r="M42" s="32" t="s">
        <v>199</v>
      </c>
      <c r="N42" s="32" t="s">
        <v>199</v>
      </c>
      <c r="O42" s="32" t="s">
        <v>199</v>
      </c>
      <c r="P42" s="32"/>
    </row>
    <row r="43" spans="1:16" x14ac:dyDescent="0.35">
      <c r="A43" t="s">
        <v>278</v>
      </c>
      <c r="B43" t="s">
        <v>279</v>
      </c>
      <c r="C43" s="32" t="s">
        <v>199</v>
      </c>
      <c r="D43" s="32"/>
      <c r="E43" s="32" t="s">
        <v>199</v>
      </c>
      <c r="F43" s="32"/>
      <c r="G43" s="32"/>
      <c r="H43" s="32" t="s">
        <v>199</v>
      </c>
      <c r="I43" s="32" t="s">
        <v>199</v>
      </c>
      <c r="J43" s="32"/>
      <c r="K43" s="32"/>
      <c r="L43" s="32" t="s">
        <v>199</v>
      </c>
      <c r="M43" s="32"/>
      <c r="N43" s="32" t="s">
        <v>199</v>
      </c>
      <c r="O43" s="32" t="s">
        <v>199</v>
      </c>
      <c r="P43" s="32"/>
    </row>
    <row r="44" spans="1:16" x14ac:dyDescent="0.35">
      <c r="A44" t="s">
        <v>280</v>
      </c>
      <c r="B44" t="s">
        <v>281</v>
      </c>
      <c r="C44" s="32" t="s">
        <v>199</v>
      </c>
      <c r="D44" s="32" t="s">
        <v>199</v>
      </c>
      <c r="E44" s="32" t="s">
        <v>199</v>
      </c>
      <c r="F44" s="32"/>
      <c r="G44" s="32"/>
      <c r="H44" s="32" t="s">
        <v>199</v>
      </c>
      <c r="I44" s="32"/>
      <c r="J44" s="32" t="s">
        <v>199</v>
      </c>
      <c r="K44" s="32"/>
      <c r="L44" s="32" t="s">
        <v>199</v>
      </c>
      <c r="M44" s="32" t="s">
        <v>199</v>
      </c>
      <c r="N44" s="32" t="s">
        <v>199</v>
      </c>
      <c r="O44" s="32" t="s">
        <v>199</v>
      </c>
      <c r="P44" s="32" t="s">
        <v>199</v>
      </c>
    </row>
    <row r="45" spans="1:16" x14ac:dyDescent="0.35">
      <c r="A45" t="s">
        <v>282</v>
      </c>
      <c r="B45" t="s">
        <v>283</v>
      </c>
      <c r="C45" s="32" t="s">
        <v>199</v>
      </c>
      <c r="D45" s="32" t="s">
        <v>199</v>
      </c>
      <c r="E45" s="32" t="s">
        <v>199</v>
      </c>
      <c r="F45" s="32"/>
      <c r="G45" s="32"/>
      <c r="H45" s="32" t="s">
        <v>199</v>
      </c>
      <c r="I45" s="32"/>
      <c r="J45" s="32" t="s">
        <v>199</v>
      </c>
      <c r="K45" s="32"/>
      <c r="L45" s="32" t="s">
        <v>199</v>
      </c>
      <c r="M45" s="32" t="s">
        <v>199</v>
      </c>
      <c r="N45" s="32" t="s">
        <v>199</v>
      </c>
      <c r="O45" s="32" t="s">
        <v>199</v>
      </c>
      <c r="P45" s="32"/>
    </row>
    <row r="46" spans="1:16" x14ac:dyDescent="0.35">
      <c r="A46" t="s">
        <v>284</v>
      </c>
      <c r="B46" t="s">
        <v>285</v>
      </c>
      <c r="C46" s="32" t="s">
        <v>199</v>
      </c>
      <c r="D46" s="32" t="s">
        <v>199</v>
      </c>
      <c r="E46" s="32" t="s">
        <v>199</v>
      </c>
      <c r="F46" s="32"/>
      <c r="G46" s="32"/>
      <c r="H46" s="32" t="s">
        <v>199</v>
      </c>
      <c r="I46" s="32"/>
      <c r="J46" s="32" t="s">
        <v>199</v>
      </c>
      <c r="K46" s="32"/>
      <c r="L46" s="32" t="s">
        <v>199</v>
      </c>
      <c r="M46" s="32" t="s">
        <v>199</v>
      </c>
      <c r="N46" s="32" t="s">
        <v>199</v>
      </c>
      <c r="O46" s="32" t="s">
        <v>199</v>
      </c>
      <c r="P46" s="32"/>
    </row>
    <row r="47" spans="1:16" x14ac:dyDescent="0.35">
      <c r="A47" t="s">
        <v>286</v>
      </c>
      <c r="B47" t="s">
        <v>287</v>
      </c>
      <c r="C47" s="32" t="s">
        <v>199</v>
      </c>
      <c r="D47" s="32" t="s">
        <v>199</v>
      </c>
      <c r="E47" s="32" t="s">
        <v>199</v>
      </c>
      <c r="F47" s="32"/>
      <c r="G47" s="32"/>
      <c r="H47" s="32" t="s">
        <v>199</v>
      </c>
      <c r="I47" s="32"/>
      <c r="J47" s="32" t="s">
        <v>199</v>
      </c>
      <c r="K47" s="32"/>
      <c r="L47" s="32" t="s">
        <v>199</v>
      </c>
      <c r="M47" s="32" t="s">
        <v>199</v>
      </c>
      <c r="N47" s="32" t="s">
        <v>199</v>
      </c>
      <c r="O47" s="32" t="s">
        <v>199</v>
      </c>
      <c r="P47" s="32"/>
    </row>
    <row r="48" spans="1:16" x14ac:dyDescent="0.35">
      <c r="A48" t="s">
        <v>288</v>
      </c>
      <c r="B48" t="s">
        <v>289</v>
      </c>
      <c r="C48" s="32" t="s">
        <v>199</v>
      </c>
      <c r="D48" s="32" t="s">
        <v>199</v>
      </c>
      <c r="E48" s="32" t="s">
        <v>199</v>
      </c>
      <c r="F48" s="32"/>
      <c r="G48" s="32"/>
      <c r="H48" s="32" t="s">
        <v>199</v>
      </c>
      <c r="I48" s="32"/>
      <c r="J48" s="32" t="s">
        <v>199</v>
      </c>
      <c r="K48" s="32"/>
      <c r="L48" s="32" t="s">
        <v>199</v>
      </c>
      <c r="M48" s="32" t="s">
        <v>199</v>
      </c>
      <c r="N48" s="32" t="s">
        <v>199</v>
      </c>
      <c r="O48" s="32" t="s">
        <v>199</v>
      </c>
      <c r="P48" s="32"/>
    </row>
    <row r="49" spans="1:16" x14ac:dyDescent="0.35">
      <c r="A49" t="s">
        <v>290</v>
      </c>
      <c r="B49" t="s">
        <v>291</v>
      </c>
      <c r="C49" s="32" t="s">
        <v>199</v>
      </c>
      <c r="D49" s="32" t="s">
        <v>199</v>
      </c>
      <c r="E49" s="32" t="s">
        <v>199</v>
      </c>
      <c r="F49" s="32"/>
      <c r="G49" s="32"/>
      <c r="H49" s="32" t="s">
        <v>199</v>
      </c>
      <c r="I49" s="32"/>
      <c r="J49" s="32" t="s">
        <v>199</v>
      </c>
      <c r="K49" s="32"/>
      <c r="L49" s="32" t="s">
        <v>199</v>
      </c>
      <c r="M49" s="32" t="s">
        <v>199</v>
      </c>
      <c r="N49" s="32" t="s">
        <v>199</v>
      </c>
      <c r="O49" s="32" t="s">
        <v>199</v>
      </c>
      <c r="P49" s="32"/>
    </row>
    <row r="50" spans="1:16" x14ac:dyDescent="0.35">
      <c r="A50" t="s">
        <v>292</v>
      </c>
      <c r="B50" t="s">
        <v>293</v>
      </c>
      <c r="C50" s="32" t="s">
        <v>199</v>
      </c>
      <c r="D50" s="32" t="s">
        <v>199</v>
      </c>
      <c r="E50" s="32" t="s">
        <v>199</v>
      </c>
      <c r="F50" s="32"/>
      <c r="G50" s="32"/>
      <c r="H50" s="32" t="s">
        <v>199</v>
      </c>
      <c r="I50" s="32" t="s">
        <v>199</v>
      </c>
      <c r="J50" s="32" t="s">
        <v>199</v>
      </c>
      <c r="K50" s="32"/>
      <c r="L50" s="32" t="s">
        <v>199</v>
      </c>
      <c r="M50" s="32" t="s">
        <v>199</v>
      </c>
      <c r="N50" s="32" t="s">
        <v>199</v>
      </c>
      <c r="O50" s="32" t="s">
        <v>199</v>
      </c>
      <c r="P50" s="32"/>
    </row>
    <row r="51" spans="1:16" x14ac:dyDescent="0.35">
      <c r="A51" t="s">
        <v>294</v>
      </c>
      <c r="B51" t="s">
        <v>295</v>
      </c>
      <c r="C51" s="32" t="s">
        <v>199</v>
      </c>
      <c r="D51" s="32" t="s">
        <v>199</v>
      </c>
      <c r="E51" s="32" t="s">
        <v>199</v>
      </c>
      <c r="F51" s="32"/>
      <c r="G51" s="32"/>
      <c r="H51" s="32" t="s">
        <v>199</v>
      </c>
      <c r="I51" s="32"/>
      <c r="J51" s="32" t="s">
        <v>199</v>
      </c>
      <c r="K51" s="32"/>
      <c r="L51" s="32" t="s">
        <v>199</v>
      </c>
      <c r="M51" s="32" t="s">
        <v>199</v>
      </c>
      <c r="N51" s="32" t="s">
        <v>199</v>
      </c>
      <c r="O51" s="32" t="s">
        <v>199</v>
      </c>
      <c r="P51" s="32"/>
    </row>
    <row r="52" spans="1:16" x14ac:dyDescent="0.35">
      <c r="A52" t="s">
        <v>296</v>
      </c>
      <c r="B52" t="s">
        <v>297</v>
      </c>
      <c r="C52" s="32" t="s">
        <v>199</v>
      </c>
      <c r="D52" s="32" t="s">
        <v>199</v>
      </c>
      <c r="E52" s="32" t="s">
        <v>199</v>
      </c>
      <c r="F52" s="32"/>
      <c r="G52" s="32"/>
      <c r="H52" s="32" t="s">
        <v>199</v>
      </c>
      <c r="I52" s="32"/>
      <c r="J52" s="32" t="s">
        <v>199</v>
      </c>
      <c r="K52" s="32"/>
      <c r="L52" s="32" t="s">
        <v>199</v>
      </c>
      <c r="M52" s="32" t="s">
        <v>199</v>
      </c>
      <c r="N52" s="32" t="s">
        <v>199</v>
      </c>
      <c r="O52" s="32" t="s">
        <v>199</v>
      </c>
      <c r="P52" s="32"/>
    </row>
    <row r="53" spans="1:16" x14ac:dyDescent="0.35">
      <c r="A53" t="s">
        <v>298</v>
      </c>
      <c r="B53" t="s">
        <v>299</v>
      </c>
      <c r="C53" s="32" t="s">
        <v>199</v>
      </c>
      <c r="D53" s="32" t="s">
        <v>199</v>
      </c>
      <c r="E53" s="32" t="s">
        <v>199</v>
      </c>
      <c r="F53" s="32"/>
      <c r="G53" s="32"/>
      <c r="H53" s="32" t="s">
        <v>199</v>
      </c>
      <c r="I53" s="32"/>
      <c r="J53" s="32" t="s">
        <v>199</v>
      </c>
      <c r="K53" s="32"/>
      <c r="L53" s="32" t="s">
        <v>199</v>
      </c>
      <c r="M53" s="32" t="s">
        <v>199</v>
      </c>
      <c r="N53" s="32" t="s">
        <v>199</v>
      </c>
      <c r="O53" s="32" t="s">
        <v>199</v>
      </c>
      <c r="P53" s="32"/>
    </row>
    <row r="54" spans="1:16" x14ac:dyDescent="0.35">
      <c r="A54" t="s">
        <v>300</v>
      </c>
      <c r="B54" t="s">
        <v>301</v>
      </c>
      <c r="C54" s="32" t="s">
        <v>199</v>
      </c>
      <c r="D54" s="32" t="s">
        <v>199</v>
      </c>
      <c r="E54" s="32" t="s">
        <v>199</v>
      </c>
      <c r="F54" s="32"/>
      <c r="G54" s="32"/>
      <c r="H54" s="32" t="s">
        <v>199</v>
      </c>
      <c r="I54" s="32"/>
      <c r="J54" s="32" t="s">
        <v>199</v>
      </c>
      <c r="K54" s="32"/>
      <c r="L54" s="32" t="s">
        <v>199</v>
      </c>
      <c r="M54" s="32" t="s">
        <v>199</v>
      </c>
      <c r="N54" s="32" t="s">
        <v>199</v>
      </c>
      <c r="O54" s="32" t="s">
        <v>199</v>
      </c>
      <c r="P54" s="32"/>
    </row>
    <row r="55" spans="1:16" x14ac:dyDescent="0.35">
      <c r="A55" t="s">
        <v>302</v>
      </c>
      <c r="B55" t="s">
        <v>303</v>
      </c>
      <c r="C55" s="32" t="s">
        <v>199</v>
      </c>
      <c r="D55" s="32" t="s">
        <v>199</v>
      </c>
      <c r="E55" s="32" t="s">
        <v>199</v>
      </c>
      <c r="F55" s="32"/>
      <c r="G55" s="32"/>
      <c r="H55" s="32" t="s">
        <v>199</v>
      </c>
      <c r="I55" s="32"/>
      <c r="J55" s="32" t="s">
        <v>199</v>
      </c>
      <c r="K55" s="32"/>
      <c r="L55" s="32" t="s">
        <v>199</v>
      </c>
      <c r="M55" s="32" t="s">
        <v>199</v>
      </c>
      <c r="N55" s="32" t="s">
        <v>199</v>
      </c>
      <c r="O55" s="32" t="s">
        <v>199</v>
      </c>
      <c r="P55" s="32"/>
    </row>
    <row r="56" spans="1:16" x14ac:dyDescent="0.35">
      <c r="A56" t="s">
        <v>304</v>
      </c>
      <c r="B56" t="s">
        <v>305</v>
      </c>
      <c r="C56" s="32" t="s">
        <v>199</v>
      </c>
      <c r="D56" s="32"/>
      <c r="E56" s="32"/>
      <c r="F56" s="32"/>
      <c r="G56" s="32"/>
      <c r="H56" s="32"/>
      <c r="I56" s="32"/>
      <c r="J56" s="32"/>
      <c r="K56" s="32"/>
      <c r="L56" s="32" t="s">
        <v>199</v>
      </c>
      <c r="M56" s="32"/>
      <c r="N56" s="32"/>
      <c r="O56" s="32"/>
      <c r="P56" s="32"/>
    </row>
    <row r="57" spans="1:16" x14ac:dyDescent="0.35">
      <c r="A57" t="s">
        <v>306</v>
      </c>
      <c r="B57" t="s">
        <v>307</v>
      </c>
      <c r="C57" s="32" t="s">
        <v>199</v>
      </c>
      <c r="D57" s="32" t="s">
        <v>199</v>
      </c>
      <c r="E57" s="32" t="s">
        <v>199</v>
      </c>
      <c r="F57" s="32"/>
      <c r="G57" s="32"/>
      <c r="H57" s="32" t="s">
        <v>199</v>
      </c>
      <c r="I57" s="32"/>
      <c r="J57" s="32"/>
      <c r="K57" s="32"/>
      <c r="L57" s="32" t="s">
        <v>199</v>
      </c>
      <c r="M57" s="32"/>
      <c r="N57" s="32"/>
      <c r="O57" s="32"/>
      <c r="P57" s="32"/>
    </row>
    <row r="58" spans="1:16" x14ac:dyDescent="0.35">
      <c r="A58" t="s">
        <v>308</v>
      </c>
      <c r="B58" t="s">
        <v>309</v>
      </c>
      <c r="C58" s="32" t="s">
        <v>199</v>
      </c>
      <c r="D58" s="32"/>
      <c r="E58" s="32"/>
      <c r="F58" s="32"/>
      <c r="G58" s="32"/>
      <c r="H58" s="32"/>
      <c r="I58" s="32"/>
      <c r="J58" s="32"/>
      <c r="K58" s="32"/>
      <c r="L58" s="32" t="s">
        <v>199</v>
      </c>
      <c r="M58" s="32"/>
      <c r="N58" s="32"/>
      <c r="O58" s="32"/>
      <c r="P58" s="32"/>
    </row>
    <row r="59" spans="1:16" x14ac:dyDescent="0.35">
      <c r="A59" t="s">
        <v>310</v>
      </c>
      <c r="B59" t="s">
        <v>311</v>
      </c>
      <c r="C59" s="32" t="s">
        <v>199</v>
      </c>
      <c r="D59" s="32"/>
      <c r="E59" s="32"/>
      <c r="F59" s="32"/>
      <c r="G59" s="32"/>
      <c r="H59" s="32"/>
      <c r="I59" s="32"/>
      <c r="J59" s="32"/>
      <c r="K59" s="32"/>
      <c r="L59" s="32" t="s">
        <v>199</v>
      </c>
      <c r="M59" s="32"/>
      <c r="N59" s="32"/>
      <c r="O59" s="32"/>
      <c r="P59" s="32"/>
    </row>
    <row r="60" spans="1:16" x14ac:dyDescent="0.35">
      <c r="A60" t="s">
        <v>312</v>
      </c>
      <c r="B60" t="s">
        <v>313</v>
      </c>
      <c r="C60" s="32" t="s">
        <v>199</v>
      </c>
      <c r="D60" s="32"/>
      <c r="E60" s="32"/>
      <c r="F60" s="32"/>
      <c r="G60" s="32"/>
      <c r="H60" s="32"/>
      <c r="I60" s="32"/>
      <c r="J60" s="32"/>
      <c r="K60" s="32"/>
      <c r="L60" s="32" t="s">
        <v>199</v>
      </c>
      <c r="M60" s="32"/>
      <c r="N60" s="32"/>
      <c r="O60" s="32"/>
      <c r="P60" s="32"/>
    </row>
    <row r="61" spans="1:16" x14ac:dyDescent="0.35">
      <c r="A61" t="s">
        <v>314</v>
      </c>
      <c r="B61" t="s">
        <v>315</v>
      </c>
      <c r="C61" s="32" t="s">
        <v>199</v>
      </c>
      <c r="D61" s="32" t="s">
        <v>199</v>
      </c>
      <c r="E61" s="32" t="s">
        <v>199</v>
      </c>
      <c r="F61" s="32"/>
      <c r="G61" s="32"/>
      <c r="H61" s="32" t="s">
        <v>199</v>
      </c>
      <c r="I61" s="32"/>
      <c r="J61" s="32"/>
      <c r="K61" s="32"/>
      <c r="L61" s="32" t="s">
        <v>199</v>
      </c>
      <c r="M61" s="32"/>
      <c r="N61" s="32" t="s">
        <v>199</v>
      </c>
      <c r="O61" s="32" t="s">
        <v>199</v>
      </c>
      <c r="P61" s="32"/>
    </row>
    <row r="62" spans="1:16" x14ac:dyDescent="0.35">
      <c r="A62" t="s">
        <v>316</v>
      </c>
      <c r="B62" t="s">
        <v>317</v>
      </c>
      <c r="C62" s="32" t="s">
        <v>199</v>
      </c>
      <c r="D62" s="32" t="s">
        <v>199</v>
      </c>
      <c r="E62" s="32"/>
      <c r="F62" s="32"/>
      <c r="G62" s="32"/>
      <c r="H62" s="32" t="s">
        <v>199</v>
      </c>
      <c r="I62" s="32"/>
      <c r="J62" s="32"/>
      <c r="K62" s="32"/>
      <c r="L62" s="32" t="s">
        <v>199</v>
      </c>
      <c r="M62" s="32"/>
      <c r="N62" s="32"/>
      <c r="O62" s="32"/>
      <c r="P62" s="32"/>
    </row>
    <row r="63" spans="1:16" x14ac:dyDescent="0.35">
      <c r="A63" t="s">
        <v>318</v>
      </c>
      <c r="B63" t="s">
        <v>319</v>
      </c>
      <c r="C63" s="32" t="s">
        <v>199</v>
      </c>
      <c r="D63" s="32"/>
      <c r="E63" s="32"/>
      <c r="F63" s="32"/>
      <c r="G63" s="32"/>
      <c r="H63" s="32" t="s">
        <v>199</v>
      </c>
      <c r="I63" s="32" t="s">
        <v>199</v>
      </c>
      <c r="J63" s="32"/>
      <c r="K63" s="32"/>
      <c r="L63" s="32" t="s">
        <v>199</v>
      </c>
      <c r="M63" s="32"/>
      <c r="N63" s="32" t="s">
        <v>199</v>
      </c>
      <c r="O63" s="32" t="s">
        <v>199</v>
      </c>
      <c r="P63" s="32"/>
    </row>
    <row r="64" spans="1:16" x14ac:dyDescent="0.35">
      <c r="A64" t="s">
        <v>320</v>
      </c>
      <c r="B64" t="s">
        <v>321</v>
      </c>
      <c r="C64" s="32" t="s">
        <v>199</v>
      </c>
      <c r="D64" s="32"/>
      <c r="E64" s="32"/>
      <c r="F64" s="32"/>
      <c r="G64" s="32"/>
      <c r="H64" s="32" t="s">
        <v>199</v>
      </c>
      <c r="I64" s="32" t="s">
        <v>199</v>
      </c>
      <c r="J64" s="32"/>
      <c r="K64" s="32"/>
      <c r="L64" s="32" t="s">
        <v>199</v>
      </c>
      <c r="M64" s="32"/>
      <c r="N64" s="32" t="s">
        <v>199</v>
      </c>
      <c r="O64" s="32" t="s">
        <v>199</v>
      </c>
      <c r="P64" s="32"/>
    </row>
    <row r="65" spans="1:16" x14ac:dyDescent="0.35">
      <c r="A65" t="s">
        <v>322</v>
      </c>
      <c r="B65" t="s">
        <v>323</v>
      </c>
      <c r="C65" s="32" t="s">
        <v>199</v>
      </c>
      <c r="D65" s="32"/>
      <c r="E65" s="32"/>
      <c r="F65" s="32"/>
      <c r="G65" s="32"/>
      <c r="H65" s="32" t="s">
        <v>199</v>
      </c>
      <c r="I65" s="32" t="s">
        <v>199</v>
      </c>
      <c r="J65" s="32"/>
      <c r="K65" s="32"/>
      <c r="L65" s="32" t="s">
        <v>199</v>
      </c>
      <c r="M65" s="32"/>
      <c r="N65" s="32" t="s">
        <v>199</v>
      </c>
      <c r="O65" s="32" t="s">
        <v>199</v>
      </c>
      <c r="P65" s="32"/>
    </row>
    <row r="66" spans="1:16" x14ac:dyDescent="0.35">
      <c r="A66" t="s">
        <v>324</v>
      </c>
      <c r="B66" t="s">
        <v>325</v>
      </c>
      <c r="C66" s="32" t="s">
        <v>199</v>
      </c>
      <c r="D66" s="32"/>
      <c r="E66" s="32"/>
      <c r="F66" s="32"/>
      <c r="G66" s="32"/>
      <c r="H66" s="32" t="s">
        <v>199</v>
      </c>
      <c r="I66" s="32"/>
      <c r="J66" s="32"/>
      <c r="K66" s="32"/>
      <c r="L66" s="32" t="s">
        <v>199</v>
      </c>
      <c r="M66" s="32"/>
      <c r="N66" s="32"/>
      <c r="O66" s="32"/>
      <c r="P66" s="32"/>
    </row>
    <row r="67" spans="1:16" x14ac:dyDescent="0.35">
      <c r="A67" t="s">
        <v>326</v>
      </c>
      <c r="B67" t="s">
        <v>327</v>
      </c>
      <c r="C67" s="32" t="s">
        <v>199</v>
      </c>
      <c r="D67" s="32" t="s">
        <v>199</v>
      </c>
      <c r="E67" s="32"/>
      <c r="F67" s="32"/>
      <c r="G67" s="32"/>
      <c r="H67" s="32" t="s">
        <v>199</v>
      </c>
      <c r="I67" s="32"/>
      <c r="J67" s="32"/>
      <c r="K67" s="32"/>
      <c r="L67" s="32" t="s">
        <v>199</v>
      </c>
      <c r="M67" s="32"/>
      <c r="N67" s="32"/>
      <c r="O67" s="32"/>
      <c r="P67" s="32"/>
    </row>
    <row r="68" spans="1:16" x14ac:dyDescent="0.35">
      <c r="A68" t="s">
        <v>328</v>
      </c>
      <c r="B68" t="s">
        <v>329</v>
      </c>
      <c r="C68" s="32" t="s">
        <v>199</v>
      </c>
      <c r="D68" s="32" t="s">
        <v>199</v>
      </c>
      <c r="E68" s="32"/>
      <c r="F68" s="32"/>
      <c r="G68" s="32"/>
      <c r="H68" s="32" t="s">
        <v>199</v>
      </c>
      <c r="I68" s="32"/>
      <c r="J68" s="32"/>
      <c r="K68" s="32"/>
      <c r="L68" s="32" t="s">
        <v>199</v>
      </c>
      <c r="M68" s="32"/>
      <c r="N68" s="32"/>
      <c r="O68" s="32"/>
      <c r="P68" s="32"/>
    </row>
    <row r="69" spans="1:16" x14ac:dyDescent="0.35">
      <c r="A69" t="s">
        <v>330</v>
      </c>
      <c r="B69" t="s">
        <v>331</v>
      </c>
      <c r="C69" s="32" t="s">
        <v>199</v>
      </c>
      <c r="D69" s="32"/>
      <c r="E69" s="32"/>
      <c r="F69" s="32"/>
      <c r="G69" s="32"/>
      <c r="H69" s="32"/>
      <c r="I69" s="32"/>
      <c r="J69" s="32"/>
      <c r="K69" s="32"/>
      <c r="L69" s="32" t="s">
        <v>199</v>
      </c>
      <c r="M69" s="32"/>
      <c r="N69" s="32"/>
      <c r="O69" s="32"/>
      <c r="P69" s="32"/>
    </row>
    <row r="70" spans="1:16" x14ac:dyDescent="0.35">
      <c r="A70" t="s">
        <v>332</v>
      </c>
      <c r="B70" t="s">
        <v>333</v>
      </c>
      <c r="C70" s="32" t="s">
        <v>199</v>
      </c>
      <c r="D70" s="32"/>
      <c r="E70" s="32"/>
      <c r="F70" s="32"/>
      <c r="G70" s="32"/>
      <c r="H70" s="32"/>
      <c r="I70" s="32"/>
      <c r="J70" s="32"/>
      <c r="K70" s="32"/>
      <c r="L70" s="32" t="s">
        <v>199</v>
      </c>
      <c r="M70" s="32"/>
      <c r="N70" s="32"/>
      <c r="O70" s="32"/>
      <c r="P70" s="32"/>
    </row>
    <row r="71" spans="1:16" x14ac:dyDescent="0.35">
      <c r="A71" t="s">
        <v>334</v>
      </c>
      <c r="B71" t="s">
        <v>335</v>
      </c>
      <c r="C71" s="32" t="s">
        <v>199</v>
      </c>
      <c r="D71" s="32"/>
      <c r="E71" s="32"/>
      <c r="F71" s="32"/>
      <c r="G71" s="32"/>
      <c r="H71" s="32"/>
      <c r="I71" s="32"/>
      <c r="J71" s="32"/>
      <c r="K71" s="32"/>
      <c r="L71" s="32" t="s">
        <v>199</v>
      </c>
      <c r="M71" s="32"/>
      <c r="N71" s="32"/>
      <c r="O71" s="32"/>
      <c r="P71" s="32"/>
    </row>
    <row r="72" spans="1:16" x14ac:dyDescent="0.35">
      <c r="A72" t="s">
        <v>336</v>
      </c>
      <c r="B72" t="s">
        <v>337</v>
      </c>
      <c r="C72" s="32" t="s">
        <v>199</v>
      </c>
      <c r="D72" s="32"/>
      <c r="E72" s="32"/>
      <c r="F72" s="32"/>
      <c r="G72" s="32"/>
      <c r="H72" s="32"/>
      <c r="I72" s="32"/>
      <c r="J72" s="32"/>
      <c r="K72" s="32"/>
      <c r="L72" s="32" t="s">
        <v>199</v>
      </c>
      <c r="M72" s="32"/>
      <c r="N72" s="32"/>
      <c r="O72" s="32"/>
      <c r="P72" s="32"/>
    </row>
    <row r="73" spans="1:16" x14ac:dyDescent="0.35">
      <c r="A73" t="s">
        <v>338</v>
      </c>
      <c r="B73" t="s">
        <v>339</v>
      </c>
      <c r="C73" s="32" t="s">
        <v>199</v>
      </c>
      <c r="D73" s="32"/>
      <c r="E73" s="32"/>
      <c r="F73" s="32"/>
      <c r="G73" s="32"/>
      <c r="H73" s="32"/>
      <c r="I73" s="32"/>
      <c r="J73" s="32"/>
      <c r="K73" s="32"/>
      <c r="L73" s="32" t="s">
        <v>199</v>
      </c>
      <c r="M73" s="32"/>
      <c r="N73" s="32"/>
      <c r="O73" s="32"/>
      <c r="P73" s="32"/>
    </row>
    <row r="74" spans="1:16" x14ac:dyDescent="0.35">
      <c r="A74" t="s">
        <v>340</v>
      </c>
      <c r="B74" t="s">
        <v>341</v>
      </c>
      <c r="C74" s="32" t="s">
        <v>199</v>
      </c>
      <c r="D74" s="32"/>
      <c r="E74" s="32"/>
      <c r="F74" s="32"/>
      <c r="G74" s="32"/>
      <c r="H74" s="32"/>
      <c r="I74" s="32"/>
      <c r="J74" s="32"/>
      <c r="K74" s="32"/>
      <c r="L74" s="32" t="s">
        <v>199</v>
      </c>
      <c r="M74" s="32"/>
      <c r="N74" s="32"/>
      <c r="O74" s="32"/>
      <c r="P74" s="32"/>
    </row>
    <row r="75" spans="1:16" x14ac:dyDescent="0.35">
      <c r="A75" t="s">
        <v>342</v>
      </c>
      <c r="B75" t="s">
        <v>343</v>
      </c>
      <c r="C75" s="32" t="s">
        <v>199</v>
      </c>
      <c r="D75" s="32"/>
      <c r="E75" s="32"/>
      <c r="F75" s="32"/>
      <c r="G75" s="32"/>
      <c r="H75" s="32"/>
      <c r="I75" s="32"/>
      <c r="J75" s="32"/>
      <c r="K75" s="32"/>
      <c r="L75" s="32" t="s">
        <v>199</v>
      </c>
      <c r="M75" s="32"/>
      <c r="N75" s="32"/>
      <c r="O75" s="32"/>
      <c r="P75" s="32"/>
    </row>
    <row r="76" spans="1:16" x14ac:dyDescent="0.35">
      <c r="A76" t="s">
        <v>344</v>
      </c>
      <c r="B76" t="s">
        <v>345</v>
      </c>
      <c r="C76" s="32" t="s">
        <v>199</v>
      </c>
      <c r="D76" s="32"/>
      <c r="E76" s="32"/>
      <c r="F76" s="32"/>
      <c r="G76" s="32"/>
      <c r="H76" s="32"/>
      <c r="I76" s="32"/>
      <c r="J76" s="32"/>
      <c r="K76" s="32"/>
      <c r="L76" s="32" t="s">
        <v>199</v>
      </c>
      <c r="M76" s="32"/>
      <c r="N76" s="32"/>
      <c r="O76" s="32"/>
      <c r="P76" s="32"/>
    </row>
    <row r="77" spans="1:16" x14ac:dyDescent="0.35">
      <c r="A77" t="s">
        <v>346</v>
      </c>
      <c r="B77" t="s">
        <v>347</v>
      </c>
      <c r="C77" s="32" t="s">
        <v>199</v>
      </c>
      <c r="D77" s="32"/>
      <c r="E77" s="32"/>
      <c r="F77" s="32"/>
      <c r="G77" s="32"/>
      <c r="H77" s="32"/>
      <c r="I77" s="32"/>
      <c r="J77" s="32"/>
      <c r="K77" s="32"/>
      <c r="L77" s="32" t="s">
        <v>199</v>
      </c>
      <c r="M77" s="32"/>
      <c r="N77" s="32"/>
      <c r="O77" s="32"/>
      <c r="P77" s="32"/>
    </row>
    <row r="78" spans="1:16" x14ac:dyDescent="0.35">
      <c r="A78" t="s">
        <v>348</v>
      </c>
      <c r="B78" t="s">
        <v>349</v>
      </c>
      <c r="C78" s="32" t="s">
        <v>199</v>
      </c>
      <c r="D78" s="32" t="s">
        <v>199</v>
      </c>
      <c r="E78" s="32"/>
      <c r="F78" s="32"/>
      <c r="G78" s="32"/>
      <c r="H78" s="32" t="s">
        <v>199</v>
      </c>
      <c r="I78" s="32"/>
      <c r="J78" s="32"/>
      <c r="K78" s="32"/>
      <c r="L78" s="32" t="s">
        <v>199</v>
      </c>
      <c r="M78" s="32"/>
      <c r="N78" s="32"/>
      <c r="O78" s="32"/>
      <c r="P78" s="32"/>
    </row>
    <row r="79" spans="1:16" x14ac:dyDescent="0.35">
      <c r="A79" t="s">
        <v>350</v>
      </c>
      <c r="B79" t="s">
        <v>351</v>
      </c>
      <c r="C79" s="32" t="s">
        <v>199</v>
      </c>
      <c r="D79" s="32" t="s">
        <v>199</v>
      </c>
      <c r="E79" s="32"/>
      <c r="F79" s="32"/>
      <c r="G79" s="32"/>
      <c r="H79" s="32" t="s">
        <v>199</v>
      </c>
      <c r="I79" s="32"/>
      <c r="J79" s="32"/>
      <c r="K79" s="32"/>
      <c r="L79" s="32" t="s">
        <v>199</v>
      </c>
      <c r="M79" s="32"/>
      <c r="N79" s="32"/>
      <c r="O79" s="32"/>
      <c r="P79" s="32"/>
    </row>
    <row r="80" spans="1:16" x14ac:dyDescent="0.35">
      <c r="A80" t="s">
        <v>352</v>
      </c>
      <c r="B80" t="s">
        <v>353</v>
      </c>
      <c r="C80" s="32" t="s">
        <v>199</v>
      </c>
      <c r="D80" s="32"/>
      <c r="E80" s="32"/>
      <c r="F80" s="32" t="s">
        <v>199</v>
      </c>
      <c r="G80" s="32"/>
      <c r="H80" s="32" t="s">
        <v>199</v>
      </c>
      <c r="I80" s="32" t="s">
        <v>199</v>
      </c>
      <c r="J80" s="32"/>
      <c r="K80" s="32"/>
      <c r="L80" s="32" t="s">
        <v>199</v>
      </c>
      <c r="M80" s="32"/>
      <c r="N80" s="32"/>
      <c r="O80" s="32"/>
      <c r="P80" s="32"/>
    </row>
    <row r="81" spans="1:16" x14ac:dyDescent="0.35">
      <c r="A81" t="s">
        <v>354</v>
      </c>
      <c r="B81" t="s">
        <v>355</v>
      </c>
      <c r="C81" s="32" t="s">
        <v>199</v>
      </c>
      <c r="D81" s="32"/>
      <c r="E81" s="32"/>
      <c r="F81" s="32"/>
      <c r="G81" s="32"/>
      <c r="H81" s="32" t="s">
        <v>199</v>
      </c>
      <c r="I81" s="32"/>
      <c r="J81" s="32"/>
      <c r="K81" s="32"/>
      <c r="L81" s="32" t="s">
        <v>199</v>
      </c>
      <c r="M81" s="32"/>
      <c r="N81" s="32"/>
      <c r="O81" s="32"/>
      <c r="P81" s="32"/>
    </row>
    <row r="82" spans="1:16" x14ac:dyDescent="0.35">
      <c r="A82" t="s">
        <v>356</v>
      </c>
      <c r="B82" t="s">
        <v>357</v>
      </c>
      <c r="C82" s="32" t="s">
        <v>199</v>
      </c>
      <c r="D82" s="32"/>
      <c r="E82" s="32"/>
      <c r="F82" s="32"/>
      <c r="G82" s="32"/>
      <c r="H82" s="32"/>
      <c r="I82" s="32"/>
      <c r="J82" s="32"/>
      <c r="K82" s="32"/>
      <c r="L82" s="32" t="s">
        <v>199</v>
      </c>
      <c r="M82" s="32"/>
      <c r="N82" s="32"/>
      <c r="O82" s="32"/>
      <c r="P82" s="32"/>
    </row>
    <row r="83" spans="1:16" x14ac:dyDescent="0.35">
      <c r="A83" t="s">
        <v>358</v>
      </c>
      <c r="B83" t="s">
        <v>359</v>
      </c>
      <c r="C83" s="32" t="s">
        <v>199</v>
      </c>
      <c r="D83" s="32"/>
      <c r="E83" s="32"/>
      <c r="F83" s="32"/>
      <c r="G83" s="32"/>
      <c r="H83" s="32"/>
      <c r="I83" s="32"/>
      <c r="J83" s="32"/>
      <c r="K83" s="32"/>
      <c r="L83" s="32" t="s">
        <v>199</v>
      </c>
      <c r="M83" s="32"/>
      <c r="N83" s="32"/>
      <c r="O83" s="32"/>
      <c r="P83" s="32"/>
    </row>
    <row r="84" spans="1:16" x14ac:dyDescent="0.35">
      <c r="A84" t="s">
        <v>360</v>
      </c>
      <c r="B84" t="s">
        <v>361</v>
      </c>
      <c r="C84" s="32" t="s">
        <v>199</v>
      </c>
      <c r="D84" s="32"/>
      <c r="E84" s="32"/>
      <c r="F84" s="32" t="s">
        <v>199</v>
      </c>
      <c r="G84" s="32"/>
      <c r="H84" s="32" t="s">
        <v>199</v>
      </c>
      <c r="I84" s="32"/>
      <c r="J84" s="32"/>
      <c r="K84" s="32"/>
      <c r="L84" s="32" t="s">
        <v>199</v>
      </c>
      <c r="M84" s="32"/>
      <c r="N84" s="32" t="s">
        <v>199</v>
      </c>
      <c r="O84" s="32"/>
      <c r="P84" s="32"/>
    </row>
    <row r="85" spans="1:16" x14ac:dyDescent="0.35">
      <c r="A85" t="s">
        <v>362</v>
      </c>
      <c r="B85" t="s">
        <v>363</v>
      </c>
      <c r="C85" s="32" t="s">
        <v>199</v>
      </c>
      <c r="D85" s="32" t="s">
        <v>199</v>
      </c>
      <c r="E85" s="32"/>
      <c r="F85" s="32"/>
      <c r="G85" s="32"/>
      <c r="H85" s="32" t="s">
        <v>199</v>
      </c>
      <c r="I85" s="32"/>
      <c r="J85" s="32"/>
      <c r="K85" s="32"/>
      <c r="L85" s="32" t="s">
        <v>199</v>
      </c>
      <c r="M85" s="32"/>
      <c r="N85" s="32"/>
      <c r="O85" s="32"/>
      <c r="P85" s="32"/>
    </row>
    <row r="86" spans="1:16" x14ac:dyDescent="0.35">
      <c r="A86" t="s">
        <v>364</v>
      </c>
      <c r="B86" t="s">
        <v>365</v>
      </c>
      <c r="C86" s="32" t="s">
        <v>199</v>
      </c>
      <c r="D86" s="32"/>
      <c r="E86" s="32"/>
      <c r="F86" s="32"/>
      <c r="G86" s="32"/>
      <c r="H86" s="32" t="s">
        <v>199</v>
      </c>
      <c r="I86" s="32"/>
      <c r="J86" s="32"/>
      <c r="K86" s="32"/>
      <c r="L86" s="32" t="s">
        <v>199</v>
      </c>
      <c r="M86" s="32"/>
      <c r="N86" s="32"/>
      <c r="O86" s="32"/>
      <c r="P86" s="32"/>
    </row>
    <row r="87" spans="1:16" x14ac:dyDescent="0.35">
      <c r="A87" t="s">
        <v>366</v>
      </c>
      <c r="B87" t="s">
        <v>367</v>
      </c>
      <c r="C87" s="32" t="s">
        <v>199</v>
      </c>
      <c r="D87" s="32" t="s">
        <v>199</v>
      </c>
      <c r="E87" s="32"/>
      <c r="F87" s="32"/>
      <c r="G87" s="32"/>
      <c r="H87" s="32" t="s">
        <v>199</v>
      </c>
      <c r="I87" s="32"/>
      <c r="J87" s="32"/>
      <c r="K87" s="32"/>
      <c r="L87" s="32" t="s">
        <v>199</v>
      </c>
      <c r="M87" s="32"/>
      <c r="N87" s="32"/>
      <c r="O87" s="32"/>
      <c r="P87" s="32"/>
    </row>
    <row r="88" spans="1:16" x14ac:dyDescent="0.35">
      <c r="A88" t="s">
        <v>368</v>
      </c>
      <c r="B88" t="s">
        <v>369</v>
      </c>
      <c r="C88" s="32" t="s">
        <v>199</v>
      </c>
      <c r="D88" s="32" t="s">
        <v>199</v>
      </c>
      <c r="E88" s="32"/>
      <c r="F88" s="32"/>
      <c r="G88" s="32"/>
      <c r="H88" s="32" t="s">
        <v>199</v>
      </c>
      <c r="I88" s="32"/>
      <c r="J88" s="32"/>
      <c r="K88" s="32"/>
      <c r="L88" s="32" t="s">
        <v>199</v>
      </c>
      <c r="M88" s="32"/>
      <c r="N88" s="32"/>
      <c r="O88" s="32"/>
      <c r="P88" s="32"/>
    </row>
    <row r="89" spans="1:16" x14ac:dyDescent="0.35">
      <c r="A89" t="s">
        <v>370</v>
      </c>
      <c r="B89" t="s">
        <v>371</v>
      </c>
      <c r="C89" s="32" t="s">
        <v>199</v>
      </c>
      <c r="D89" s="32" t="s">
        <v>199</v>
      </c>
      <c r="E89" s="32"/>
      <c r="F89" s="32"/>
      <c r="G89" s="32"/>
      <c r="H89" s="32" t="s">
        <v>199</v>
      </c>
      <c r="I89" s="32"/>
      <c r="J89" s="32" t="s">
        <v>199</v>
      </c>
      <c r="K89" s="32"/>
      <c r="L89" s="32" t="s">
        <v>199</v>
      </c>
      <c r="M89" s="32" t="s">
        <v>199</v>
      </c>
      <c r="N89" s="32"/>
      <c r="O89" s="32"/>
      <c r="P89" s="32"/>
    </row>
    <row r="90" spans="1:16" x14ac:dyDescent="0.35">
      <c r="A90" t="s">
        <v>372</v>
      </c>
      <c r="B90" t="s">
        <v>373</v>
      </c>
      <c r="C90" s="32" t="s">
        <v>199</v>
      </c>
      <c r="D90" s="32" t="s">
        <v>199</v>
      </c>
      <c r="E90" s="32"/>
      <c r="F90" s="32"/>
      <c r="G90" s="32"/>
      <c r="H90" s="32" t="s">
        <v>199</v>
      </c>
      <c r="I90" s="32"/>
      <c r="J90" s="32" t="s">
        <v>199</v>
      </c>
      <c r="K90" s="32"/>
      <c r="L90" s="32" t="s">
        <v>199</v>
      </c>
      <c r="M90" s="32" t="s">
        <v>199</v>
      </c>
      <c r="N90" s="32"/>
      <c r="O90" s="32"/>
      <c r="P90" s="32"/>
    </row>
    <row r="91" spans="1:16" x14ac:dyDescent="0.35">
      <c r="A91" t="s">
        <v>374</v>
      </c>
      <c r="B91" t="s">
        <v>375</v>
      </c>
      <c r="C91" s="32" t="s">
        <v>199</v>
      </c>
      <c r="D91" s="32" t="s">
        <v>199</v>
      </c>
      <c r="E91" s="32"/>
      <c r="F91" s="32" t="s">
        <v>199</v>
      </c>
      <c r="G91" s="32"/>
      <c r="H91" s="32" t="s">
        <v>199</v>
      </c>
      <c r="I91" s="32"/>
      <c r="J91" s="32"/>
      <c r="K91" s="32"/>
      <c r="L91" s="32" t="s">
        <v>199</v>
      </c>
      <c r="M91" s="32"/>
      <c r="N91" s="32"/>
      <c r="O91" s="32"/>
      <c r="P91" s="32"/>
    </row>
    <row r="92" spans="1:16" x14ac:dyDescent="0.35">
      <c r="A92" t="s">
        <v>376</v>
      </c>
      <c r="B92" t="s">
        <v>377</v>
      </c>
      <c r="C92" s="32" t="s">
        <v>199</v>
      </c>
      <c r="D92" s="32"/>
      <c r="E92" s="32"/>
      <c r="F92" s="32"/>
      <c r="G92" s="32"/>
      <c r="H92" s="32" t="s">
        <v>199</v>
      </c>
      <c r="I92" s="32"/>
      <c r="J92" s="32"/>
      <c r="K92" s="32"/>
      <c r="L92" s="32" t="s">
        <v>199</v>
      </c>
      <c r="M92" s="32"/>
      <c r="N92" s="32"/>
      <c r="O92" s="32"/>
      <c r="P92" s="32"/>
    </row>
    <row r="93" spans="1:16" x14ac:dyDescent="0.35">
      <c r="A93" t="s">
        <v>378</v>
      </c>
      <c r="B93" t="s">
        <v>379</v>
      </c>
      <c r="C93" s="32" t="s">
        <v>199</v>
      </c>
      <c r="D93" s="32"/>
      <c r="E93" s="32"/>
      <c r="F93" s="32"/>
      <c r="G93" s="32"/>
      <c r="H93" s="32" t="s">
        <v>199</v>
      </c>
      <c r="I93" s="32"/>
      <c r="J93" s="32"/>
      <c r="K93" s="32"/>
      <c r="L93" s="32" t="s">
        <v>199</v>
      </c>
      <c r="M93" s="32"/>
      <c r="N93" s="32"/>
      <c r="O93" s="32"/>
      <c r="P93" s="32"/>
    </row>
    <row r="94" spans="1:16" x14ac:dyDescent="0.35">
      <c r="A94" t="s">
        <v>380</v>
      </c>
      <c r="B94" t="s">
        <v>381</v>
      </c>
      <c r="C94" s="32" t="s">
        <v>199</v>
      </c>
      <c r="D94" s="32"/>
      <c r="E94" s="32"/>
      <c r="F94" s="32" t="s">
        <v>199</v>
      </c>
      <c r="G94" s="32"/>
      <c r="H94" s="32" t="s">
        <v>199</v>
      </c>
      <c r="I94" s="32"/>
      <c r="J94" s="32"/>
      <c r="K94" s="32"/>
      <c r="L94" s="32" t="s">
        <v>199</v>
      </c>
      <c r="M94" s="32"/>
      <c r="N94" s="32" t="s">
        <v>199</v>
      </c>
      <c r="O94" s="32"/>
      <c r="P94" s="32"/>
    </row>
    <row r="95" spans="1:16" x14ac:dyDescent="0.35">
      <c r="A95" t="s">
        <v>382</v>
      </c>
      <c r="B95" t="s">
        <v>383</v>
      </c>
      <c r="C95" s="32" t="s">
        <v>199</v>
      </c>
      <c r="D95" s="32"/>
      <c r="E95" s="32"/>
      <c r="F95" s="32" t="s">
        <v>199</v>
      </c>
      <c r="G95" s="32"/>
      <c r="H95" s="32" t="s">
        <v>199</v>
      </c>
      <c r="I95" s="32"/>
      <c r="J95" s="32"/>
      <c r="K95" s="32"/>
      <c r="L95" s="32" t="s">
        <v>199</v>
      </c>
      <c r="M95" s="32"/>
      <c r="N95" s="32"/>
      <c r="O95" s="32"/>
      <c r="P95" s="32"/>
    </row>
    <row r="96" spans="1:16" x14ac:dyDescent="0.35">
      <c r="A96" t="s">
        <v>384</v>
      </c>
      <c r="B96" t="s">
        <v>385</v>
      </c>
      <c r="C96" s="32" t="s">
        <v>199</v>
      </c>
      <c r="D96" s="32"/>
      <c r="E96" s="32"/>
      <c r="F96" s="32"/>
      <c r="G96" s="32"/>
      <c r="H96" s="32" t="s">
        <v>199</v>
      </c>
      <c r="I96" s="32"/>
      <c r="J96" s="32"/>
      <c r="K96" s="32"/>
      <c r="L96" s="32" t="s">
        <v>199</v>
      </c>
      <c r="M96" s="32"/>
      <c r="N96" s="32"/>
      <c r="O96" s="32"/>
      <c r="P96" s="32"/>
    </row>
    <row r="97" spans="1:16" x14ac:dyDescent="0.35">
      <c r="A97" t="s">
        <v>386</v>
      </c>
      <c r="B97" t="s">
        <v>387</v>
      </c>
      <c r="C97" s="32" t="s">
        <v>199</v>
      </c>
      <c r="D97" s="32"/>
      <c r="E97" s="32"/>
      <c r="F97" s="32"/>
      <c r="G97" s="32"/>
      <c r="H97" s="32" t="s">
        <v>199</v>
      </c>
      <c r="I97" s="32"/>
      <c r="J97" s="32"/>
      <c r="K97" s="32"/>
      <c r="L97" s="32" t="s">
        <v>199</v>
      </c>
      <c r="M97" s="32"/>
      <c r="N97" s="32"/>
      <c r="O97" s="32"/>
      <c r="P97" s="32"/>
    </row>
    <row r="98" spans="1:16" x14ac:dyDescent="0.35">
      <c r="A98" t="s">
        <v>388</v>
      </c>
      <c r="B98" t="s">
        <v>389</v>
      </c>
      <c r="C98" s="32" t="s">
        <v>199</v>
      </c>
      <c r="D98" s="32"/>
      <c r="E98" s="32"/>
      <c r="F98" s="32"/>
      <c r="G98" s="32"/>
      <c r="H98" s="32" t="s">
        <v>199</v>
      </c>
      <c r="I98" s="32"/>
      <c r="J98" s="32"/>
      <c r="K98" s="32"/>
      <c r="L98" s="32" t="s">
        <v>199</v>
      </c>
      <c r="M98" s="32"/>
      <c r="N98" s="32"/>
      <c r="O98" s="32"/>
      <c r="P98" s="32"/>
    </row>
    <row r="99" spans="1:16" x14ac:dyDescent="0.35">
      <c r="A99" t="s">
        <v>390</v>
      </c>
      <c r="B99" t="s">
        <v>391</v>
      </c>
      <c r="C99" s="32" t="s">
        <v>199</v>
      </c>
      <c r="D99" s="32"/>
      <c r="E99" s="32"/>
      <c r="F99" s="32"/>
      <c r="G99" s="32"/>
      <c r="H99" s="32" t="s">
        <v>199</v>
      </c>
      <c r="I99" s="32"/>
      <c r="J99" s="32"/>
      <c r="K99" s="32"/>
      <c r="L99" s="32" t="s">
        <v>199</v>
      </c>
      <c r="M99" s="32"/>
      <c r="N99" s="32"/>
      <c r="O99" s="32"/>
      <c r="P99" s="32"/>
    </row>
    <row r="100" spans="1:16" x14ac:dyDescent="0.35">
      <c r="A100" t="s">
        <v>392</v>
      </c>
      <c r="B100" t="s">
        <v>393</v>
      </c>
      <c r="C100" s="32" t="s">
        <v>199</v>
      </c>
      <c r="D100" s="32"/>
      <c r="E100" s="32"/>
      <c r="F100" s="32"/>
      <c r="G100" s="32"/>
      <c r="H100" s="32" t="s">
        <v>199</v>
      </c>
      <c r="I100" s="32"/>
      <c r="J100" s="32"/>
      <c r="K100" s="32"/>
      <c r="L100" s="32" t="s">
        <v>199</v>
      </c>
      <c r="M100" s="32"/>
      <c r="N100" s="32"/>
      <c r="O100" s="32"/>
      <c r="P100" s="32"/>
    </row>
    <row r="101" spans="1:16" x14ac:dyDescent="0.35">
      <c r="A101" t="s">
        <v>394</v>
      </c>
      <c r="B101" t="s">
        <v>395</v>
      </c>
      <c r="C101" s="32" t="s">
        <v>199</v>
      </c>
      <c r="D101" s="32"/>
      <c r="E101" s="32"/>
      <c r="F101" s="32" t="s">
        <v>199</v>
      </c>
      <c r="G101" s="32"/>
      <c r="H101" s="32" t="s">
        <v>199</v>
      </c>
      <c r="I101" s="32"/>
      <c r="J101" s="32"/>
      <c r="K101" s="32"/>
      <c r="L101" s="32" t="s">
        <v>199</v>
      </c>
      <c r="M101" s="32"/>
      <c r="N101" s="32"/>
      <c r="O101" s="32"/>
      <c r="P101" s="32"/>
    </row>
    <row r="102" spans="1:16" x14ac:dyDescent="0.35">
      <c r="A102" t="s">
        <v>396</v>
      </c>
      <c r="B102" t="s">
        <v>397</v>
      </c>
      <c r="C102" s="32" t="s">
        <v>199</v>
      </c>
      <c r="D102" s="32"/>
      <c r="E102" s="32"/>
      <c r="F102" s="32"/>
      <c r="G102" s="32"/>
      <c r="H102" s="32" t="s">
        <v>199</v>
      </c>
      <c r="I102" s="32"/>
      <c r="J102" s="32"/>
      <c r="K102" s="32"/>
      <c r="L102" s="32" t="s">
        <v>199</v>
      </c>
      <c r="M102" s="32"/>
      <c r="N102" s="32"/>
      <c r="O102" s="32"/>
      <c r="P102" s="32"/>
    </row>
    <row r="103" spans="1:16" x14ac:dyDescent="0.35">
      <c r="A103" t="s">
        <v>398</v>
      </c>
      <c r="B103" t="s">
        <v>399</v>
      </c>
      <c r="C103" s="32" t="s">
        <v>199</v>
      </c>
      <c r="D103" s="32"/>
      <c r="E103" s="32"/>
      <c r="F103" s="32"/>
      <c r="G103" s="32"/>
      <c r="H103" s="32" t="s">
        <v>199</v>
      </c>
      <c r="I103" s="32"/>
      <c r="J103" s="32"/>
      <c r="K103" s="32"/>
      <c r="L103" s="32" t="s">
        <v>199</v>
      </c>
      <c r="M103" s="32"/>
      <c r="N103" s="32"/>
      <c r="O103" s="32"/>
      <c r="P103" s="32"/>
    </row>
    <row r="104" spans="1:16" x14ac:dyDescent="0.35">
      <c r="A104" t="s">
        <v>400</v>
      </c>
      <c r="B104" t="s">
        <v>401</v>
      </c>
      <c r="C104" s="32" t="s">
        <v>199</v>
      </c>
      <c r="D104" s="32"/>
      <c r="E104" s="32" t="s">
        <v>199</v>
      </c>
      <c r="F104" s="32"/>
      <c r="G104" s="32"/>
      <c r="H104" s="32" t="s">
        <v>199</v>
      </c>
      <c r="I104" s="32"/>
      <c r="J104" s="32"/>
      <c r="K104" s="32"/>
      <c r="L104" s="32" t="s">
        <v>199</v>
      </c>
      <c r="M104" s="32"/>
      <c r="N104" s="32"/>
      <c r="O104" s="32"/>
      <c r="P104" s="32"/>
    </row>
    <row r="105" spans="1:16" x14ac:dyDescent="0.35">
      <c r="A105" t="s">
        <v>402</v>
      </c>
      <c r="B105" t="s">
        <v>403</v>
      </c>
      <c r="C105" s="32" t="s">
        <v>199</v>
      </c>
      <c r="D105" s="32"/>
      <c r="E105" s="32"/>
      <c r="F105" s="32"/>
      <c r="G105" s="32"/>
      <c r="H105" s="32" t="s">
        <v>199</v>
      </c>
      <c r="I105" s="32" t="s">
        <v>199</v>
      </c>
      <c r="J105" s="32"/>
      <c r="K105" s="32"/>
      <c r="L105" s="32" t="s">
        <v>199</v>
      </c>
      <c r="M105" s="32"/>
      <c r="N105" s="32" t="s">
        <v>199</v>
      </c>
      <c r="O105" s="32" t="s">
        <v>199</v>
      </c>
      <c r="P105" s="32"/>
    </row>
    <row r="106" spans="1:16" x14ac:dyDescent="0.35">
      <c r="A106" t="s">
        <v>404</v>
      </c>
      <c r="B106" t="s">
        <v>405</v>
      </c>
      <c r="C106" s="32" t="s">
        <v>199</v>
      </c>
      <c r="D106" s="32"/>
      <c r="E106" s="32"/>
      <c r="F106" s="32"/>
      <c r="G106" s="32"/>
      <c r="H106" s="32" t="s">
        <v>199</v>
      </c>
      <c r="I106" s="32" t="s">
        <v>199</v>
      </c>
      <c r="J106" s="32"/>
      <c r="K106" s="32"/>
      <c r="L106" s="32" t="s">
        <v>199</v>
      </c>
      <c r="M106" s="32"/>
      <c r="N106" s="32" t="s">
        <v>199</v>
      </c>
      <c r="O106" s="32" t="s">
        <v>199</v>
      </c>
      <c r="P106" s="32"/>
    </row>
    <row r="107" spans="1:16" x14ac:dyDescent="0.35">
      <c r="A107" t="s">
        <v>406</v>
      </c>
      <c r="B107" t="s">
        <v>407</v>
      </c>
      <c r="C107" s="32" t="s">
        <v>199</v>
      </c>
      <c r="D107" s="32"/>
      <c r="E107" s="32"/>
      <c r="F107" s="32"/>
      <c r="G107" s="32"/>
      <c r="H107" s="32" t="s">
        <v>199</v>
      </c>
      <c r="I107" s="32" t="s">
        <v>199</v>
      </c>
      <c r="J107" s="32"/>
      <c r="K107" s="32"/>
      <c r="L107" s="32" t="s">
        <v>199</v>
      </c>
      <c r="M107" s="32"/>
      <c r="N107" s="32" t="s">
        <v>199</v>
      </c>
      <c r="O107" s="32" t="s">
        <v>199</v>
      </c>
      <c r="P107" s="32"/>
    </row>
    <row r="108" spans="1:16" x14ac:dyDescent="0.35">
      <c r="A108" t="s">
        <v>408</v>
      </c>
      <c r="B108" t="s">
        <v>409</v>
      </c>
      <c r="C108" s="32" t="s">
        <v>199</v>
      </c>
      <c r="D108" s="32"/>
      <c r="E108" s="32"/>
      <c r="F108" s="32"/>
      <c r="G108" s="32"/>
      <c r="H108" s="32" t="s">
        <v>199</v>
      </c>
      <c r="I108" s="32" t="s">
        <v>199</v>
      </c>
      <c r="J108" s="32"/>
      <c r="K108" s="32"/>
      <c r="L108" s="32" t="s">
        <v>199</v>
      </c>
      <c r="M108" s="32"/>
      <c r="N108" s="32" t="s">
        <v>199</v>
      </c>
      <c r="O108" s="32" t="s">
        <v>199</v>
      </c>
      <c r="P108" s="32"/>
    </row>
    <row r="109" spans="1:16" x14ac:dyDescent="0.35">
      <c r="A109" t="s">
        <v>410</v>
      </c>
      <c r="B109" t="s">
        <v>411</v>
      </c>
      <c r="C109" s="32" t="s">
        <v>199</v>
      </c>
      <c r="D109" s="32"/>
      <c r="E109" s="32"/>
      <c r="F109" s="32"/>
      <c r="G109" s="32"/>
      <c r="H109" s="32" t="s">
        <v>199</v>
      </c>
      <c r="I109" s="32" t="s">
        <v>199</v>
      </c>
      <c r="J109" s="32"/>
      <c r="K109" s="32"/>
      <c r="L109" s="32" t="s">
        <v>199</v>
      </c>
      <c r="M109" s="32"/>
      <c r="N109" s="32" t="s">
        <v>199</v>
      </c>
      <c r="O109" s="32" t="s">
        <v>199</v>
      </c>
      <c r="P109" s="32"/>
    </row>
    <row r="110" spans="1:16" x14ac:dyDescent="0.35">
      <c r="A110" t="s">
        <v>412</v>
      </c>
      <c r="B110" t="s">
        <v>413</v>
      </c>
      <c r="C110" s="32" t="s">
        <v>199</v>
      </c>
      <c r="D110" s="32"/>
      <c r="E110" s="32"/>
      <c r="F110" s="32"/>
      <c r="G110" s="32"/>
      <c r="H110" s="32" t="s">
        <v>199</v>
      </c>
      <c r="I110" s="32" t="s">
        <v>199</v>
      </c>
      <c r="J110" s="32"/>
      <c r="K110" s="32"/>
      <c r="L110" s="32" t="s">
        <v>199</v>
      </c>
      <c r="M110" s="32"/>
      <c r="N110" s="32" t="s">
        <v>199</v>
      </c>
      <c r="O110" s="32" t="s">
        <v>199</v>
      </c>
      <c r="P110" s="32"/>
    </row>
    <row r="111" spans="1:16" x14ac:dyDescent="0.35">
      <c r="A111" t="s">
        <v>414</v>
      </c>
      <c r="B111" t="s">
        <v>415</v>
      </c>
      <c r="C111" s="32" t="s">
        <v>199</v>
      </c>
      <c r="D111" s="32"/>
      <c r="E111" s="32"/>
      <c r="F111" s="32"/>
      <c r="G111" s="32"/>
      <c r="H111" s="32" t="s">
        <v>199</v>
      </c>
      <c r="I111" s="32" t="s">
        <v>199</v>
      </c>
      <c r="J111" s="32"/>
      <c r="K111" s="32"/>
      <c r="L111" s="32" t="s">
        <v>199</v>
      </c>
      <c r="M111" s="32"/>
      <c r="N111" s="32" t="s">
        <v>199</v>
      </c>
      <c r="O111" s="32" t="s">
        <v>199</v>
      </c>
      <c r="P111" s="32"/>
    </row>
    <row r="112" spans="1:16" x14ac:dyDescent="0.35">
      <c r="A112" t="s">
        <v>416</v>
      </c>
      <c r="B112" t="s">
        <v>417</v>
      </c>
      <c r="C112" s="32" t="s">
        <v>199</v>
      </c>
      <c r="D112" s="32"/>
      <c r="E112" s="32"/>
      <c r="F112" s="32"/>
      <c r="G112" s="32"/>
      <c r="H112" s="32" t="s">
        <v>199</v>
      </c>
      <c r="I112" s="32" t="s">
        <v>199</v>
      </c>
      <c r="J112" s="32"/>
      <c r="K112" s="32"/>
      <c r="L112" s="32" t="s">
        <v>199</v>
      </c>
      <c r="M112" s="32"/>
      <c r="N112" s="32" t="s">
        <v>199</v>
      </c>
      <c r="O112" s="32" t="s">
        <v>199</v>
      </c>
      <c r="P112" s="32"/>
    </row>
    <row r="113" spans="1:16" x14ac:dyDescent="0.35">
      <c r="A113" t="s">
        <v>418</v>
      </c>
      <c r="B113" t="s">
        <v>419</v>
      </c>
      <c r="C113" s="32" t="s">
        <v>199</v>
      </c>
      <c r="D113" s="32"/>
      <c r="E113" s="32"/>
      <c r="F113" s="32"/>
      <c r="G113" s="32"/>
      <c r="H113" s="32" t="s">
        <v>199</v>
      </c>
      <c r="I113" s="32" t="s">
        <v>199</v>
      </c>
      <c r="J113" s="32"/>
      <c r="K113" s="32"/>
      <c r="L113" s="32" t="s">
        <v>199</v>
      </c>
      <c r="M113" s="32"/>
      <c r="N113" s="32" t="s">
        <v>199</v>
      </c>
      <c r="O113" s="32" t="s">
        <v>199</v>
      </c>
      <c r="P113" s="32"/>
    </row>
    <row r="114" spans="1:16" x14ac:dyDescent="0.35">
      <c r="A114" t="s">
        <v>420</v>
      </c>
      <c r="B114" t="s">
        <v>421</v>
      </c>
      <c r="C114" s="32" t="s">
        <v>199</v>
      </c>
      <c r="D114" s="32"/>
      <c r="E114" s="32"/>
      <c r="F114" s="32"/>
      <c r="G114" s="32"/>
      <c r="H114" s="32" t="s">
        <v>199</v>
      </c>
      <c r="I114" s="32"/>
      <c r="J114" s="32"/>
      <c r="K114" s="32"/>
      <c r="L114" s="32" t="s">
        <v>199</v>
      </c>
      <c r="M114" s="32"/>
      <c r="N114" s="32"/>
      <c r="O114" s="32"/>
      <c r="P114" s="32"/>
    </row>
    <row r="115" spans="1:16" x14ac:dyDescent="0.35">
      <c r="A115" t="s">
        <v>422</v>
      </c>
      <c r="B115" t="s">
        <v>423</v>
      </c>
      <c r="C115" s="32" t="s">
        <v>199</v>
      </c>
      <c r="D115" s="32"/>
      <c r="E115" s="32"/>
      <c r="F115" s="32"/>
      <c r="G115" s="32"/>
      <c r="H115" s="32"/>
      <c r="I115" s="32"/>
      <c r="J115" s="32"/>
      <c r="K115" s="32"/>
      <c r="L115" s="32" t="s">
        <v>199</v>
      </c>
      <c r="M115" s="32"/>
      <c r="N115" s="32"/>
      <c r="O115" s="32"/>
      <c r="P115" s="32"/>
    </row>
    <row r="116" spans="1:16" x14ac:dyDescent="0.35">
      <c r="A116" t="s">
        <v>424</v>
      </c>
      <c r="B116" t="s">
        <v>425</v>
      </c>
      <c r="C116" s="32" t="s">
        <v>199</v>
      </c>
      <c r="D116" s="32"/>
      <c r="E116" s="32"/>
      <c r="F116" s="32"/>
      <c r="G116" s="32"/>
      <c r="H116" s="32"/>
      <c r="I116" s="32"/>
      <c r="J116" s="32"/>
      <c r="K116" s="32"/>
      <c r="L116" s="32" t="s">
        <v>199</v>
      </c>
      <c r="M116" s="32"/>
      <c r="N116" s="32"/>
      <c r="O116" s="32"/>
      <c r="P116" s="32"/>
    </row>
    <row r="117" spans="1:16" x14ac:dyDescent="0.35">
      <c r="A117" t="s">
        <v>426</v>
      </c>
      <c r="B117" t="s">
        <v>427</v>
      </c>
      <c r="C117" s="32" t="s">
        <v>199</v>
      </c>
      <c r="D117" s="32"/>
      <c r="E117" s="32"/>
      <c r="F117" s="32"/>
      <c r="G117" s="32"/>
      <c r="H117" s="32"/>
      <c r="I117" s="32"/>
      <c r="J117" s="32"/>
      <c r="K117" s="32"/>
      <c r="L117" s="32" t="s">
        <v>199</v>
      </c>
      <c r="M117" s="32"/>
      <c r="N117" s="32"/>
      <c r="O117" s="32"/>
      <c r="P117" s="32"/>
    </row>
    <row r="118" spans="1:16" x14ac:dyDescent="0.35">
      <c r="A118" t="s">
        <v>428</v>
      </c>
      <c r="B118" t="s">
        <v>429</v>
      </c>
      <c r="C118" s="32" t="s">
        <v>199</v>
      </c>
      <c r="D118" s="32"/>
      <c r="E118" s="32"/>
      <c r="F118" s="32"/>
      <c r="G118" s="32"/>
      <c r="H118" s="32" t="s">
        <v>199</v>
      </c>
      <c r="I118" s="32"/>
      <c r="J118" s="32"/>
      <c r="K118" s="32"/>
      <c r="L118" s="32" t="s">
        <v>199</v>
      </c>
      <c r="M118" s="32"/>
      <c r="N118" s="32"/>
      <c r="O118" s="32"/>
      <c r="P118" s="32"/>
    </row>
    <row r="119" spans="1:16" x14ac:dyDescent="0.35">
      <c r="A119" t="s">
        <v>430</v>
      </c>
      <c r="B119" t="s">
        <v>431</v>
      </c>
      <c r="C119" s="32" t="s">
        <v>199</v>
      </c>
      <c r="D119" s="32"/>
      <c r="E119" s="32"/>
      <c r="F119" s="32" t="s">
        <v>199</v>
      </c>
      <c r="G119" s="32"/>
      <c r="H119" s="32" t="s">
        <v>199</v>
      </c>
      <c r="I119" s="32"/>
      <c r="J119" s="32"/>
      <c r="K119" s="32"/>
      <c r="L119" s="32" t="s">
        <v>199</v>
      </c>
      <c r="M119" s="32"/>
      <c r="N119" s="32"/>
      <c r="O119" s="32"/>
      <c r="P119" s="32"/>
    </row>
    <row r="120" spans="1:16" x14ac:dyDescent="0.35">
      <c r="A120" t="s">
        <v>432</v>
      </c>
      <c r="B120" t="s">
        <v>433</v>
      </c>
      <c r="C120" s="32" t="s">
        <v>199</v>
      </c>
      <c r="D120" s="32"/>
      <c r="E120" s="32"/>
      <c r="F120" s="32"/>
      <c r="G120" s="32"/>
      <c r="H120" s="32"/>
      <c r="I120" s="32"/>
      <c r="J120" s="32"/>
      <c r="K120" s="32"/>
      <c r="L120" s="32" t="s">
        <v>199</v>
      </c>
      <c r="M120" s="32"/>
      <c r="N120" s="32"/>
      <c r="O120" s="32"/>
      <c r="P120" s="32"/>
    </row>
    <row r="121" spans="1:16" x14ac:dyDescent="0.35">
      <c r="A121" t="s">
        <v>434</v>
      </c>
      <c r="B121" t="s">
        <v>435</v>
      </c>
      <c r="C121" s="32" t="s">
        <v>199</v>
      </c>
      <c r="D121" s="32"/>
      <c r="E121" s="32"/>
      <c r="F121" s="32" t="s">
        <v>199</v>
      </c>
      <c r="G121" s="32"/>
      <c r="H121" s="32" t="s">
        <v>199</v>
      </c>
      <c r="I121" s="32"/>
      <c r="J121" s="32"/>
      <c r="K121" s="32"/>
      <c r="L121" s="32" t="s">
        <v>199</v>
      </c>
      <c r="M121" s="32"/>
      <c r="N121" s="32" t="s">
        <v>199</v>
      </c>
      <c r="O121" s="32"/>
      <c r="P121" s="32"/>
    </row>
    <row r="122" spans="1:16" x14ac:dyDescent="0.35">
      <c r="A122" t="s">
        <v>436</v>
      </c>
      <c r="B122" t="s">
        <v>437</v>
      </c>
      <c r="C122" s="32" t="s">
        <v>199</v>
      </c>
      <c r="D122" s="32"/>
      <c r="E122" s="32"/>
      <c r="F122" s="32" t="s">
        <v>199</v>
      </c>
      <c r="G122" s="32"/>
      <c r="H122" s="32" t="s">
        <v>199</v>
      </c>
      <c r="I122" s="32"/>
      <c r="J122" s="32"/>
      <c r="K122" s="32"/>
      <c r="L122" s="32" t="s">
        <v>199</v>
      </c>
      <c r="M122" s="32"/>
      <c r="N122" s="32"/>
      <c r="O122" s="32"/>
      <c r="P122" s="32"/>
    </row>
    <row r="123" spans="1:16" x14ac:dyDescent="0.35">
      <c r="A123" t="s">
        <v>438</v>
      </c>
      <c r="B123" t="s">
        <v>439</v>
      </c>
      <c r="C123" s="32" t="s">
        <v>199</v>
      </c>
      <c r="D123" s="32"/>
      <c r="E123" s="32"/>
      <c r="F123" s="32" t="s">
        <v>199</v>
      </c>
      <c r="G123" s="32"/>
      <c r="H123" s="32" t="s">
        <v>199</v>
      </c>
      <c r="I123" s="32"/>
      <c r="J123" s="32"/>
      <c r="K123" s="32"/>
      <c r="L123" s="32" t="s">
        <v>199</v>
      </c>
      <c r="M123" s="32"/>
      <c r="N123" s="32"/>
      <c r="O123" s="32"/>
      <c r="P123" s="32"/>
    </row>
    <row r="124" spans="1:16" x14ac:dyDescent="0.35">
      <c r="A124" t="s">
        <v>440</v>
      </c>
      <c r="B124" t="s">
        <v>441</v>
      </c>
      <c r="C124" s="32" t="s">
        <v>199</v>
      </c>
      <c r="D124" s="32"/>
      <c r="E124" s="32" t="s">
        <v>199</v>
      </c>
      <c r="F124" s="32"/>
      <c r="G124" s="32" t="s">
        <v>199</v>
      </c>
      <c r="H124" s="32" t="s">
        <v>199</v>
      </c>
      <c r="I124" s="32" t="s">
        <v>199</v>
      </c>
      <c r="J124" s="32"/>
      <c r="K124" s="32"/>
      <c r="L124" s="32" t="s">
        <v>199</v>
      </c>
      <c r="M124" s="32"/>
      <c r="N124" s="32" t="s">
        <v>199</v>
      </c>
      <c r="O124" s="32" t="s">
        <v>199</v>
      </c>
      <c r="P124" s="32"/>
    </row>
    <row r="125" spans="1:16" x14ac:dyDescent="0.35">
      <c r="A125" t="s">
        <v>442</v>
      </c>
      <c r="B125" t="s">
        <v>443</v>
      </c>
      <c r="C125" s="32" t="s">
        <v>199</v>
      </c>
      <c r="D125" s="32"/>
      <c r="E125" s="32" t="s">
        <v>199</v>
      </c>
      <c r="F125" s="32"/>
      <c r="G125" s="32" t="s">
        <v>199</v>
      </c>
      <c r="H125" s="32" t="s">
        <v>199</v>
      </c>
      <c r="I125" s="32" t="s">
        <v>199</v>
      </c>
      <c r="J125" s="32"/>
      <c r="K125" s="32"/>
      <c r="L125" s="32" t="s">
        <v>199</v>
      </c>
      <c r="M125" s="32"/>
      <c r="N125" s="32" t="s">
        <v>199</v>
      </c>
      <c r="O125" s="32" t="s">
        <v>199</v>
      </c>
      <c r="P125" s="32"/>
    </row>
    <row r="126" spans="1:16" x14ac:dyDescent="0.35">
      <c r="A126" t="s">
        <v>444</v>
      </c>
      <c r="B126" t="s">
        <v>445</v>
      </c>
      <c r="C126" s="32" t="s">
        <v>199</v>
      </c>
      <c r="D126" s="32"/>
      <c r="E126" s="32"/>
      <c r="F126" s="32"/>
      <c r="G126" s="32"/>
      <c r="H126" s="32"/>
      <c r="I126" s="32"/>
      <c r="J126" s="32"/>
      <c r="K126" s="32"/>
      <c r="L126" s="32" t="s">
        <v>199</v>
      </c>
      <c r="M126" s="32"/>
      <c r="N126" s="32"/>
      <c r="O126" s="32"/>
      <c r="P126" s="32"/>
    </row>
    <row r="127" spans="1:16" x14ac:dyDescent="0.35">
      <c r="A127" t="s">
        <v>446</v>
      </c>
      <c r="B127" t="s">
        <v>447</v>
      </c>
      <c r="C127" s="32" t="s">
        <v>199</v>
      </c>
      <c r="D127" s="32"/>
      <c r="E127" s="32"/>
      <c r="F127" s="32"/>
      <c r="G127" s="32"/>
      <c r="H127" s="32"/>
      <c r="I127" s="32"/>
      <c r="J127" s="32"/>
      <c r="K127" s="32"/>
      <c r="L127" s="32" t="s">
        <v>199</v>
      </c>
      <c r="M127" s="32"/>
      <c r="N127" s="32"/>
      <c r="O127" s="32"/>
      <c r="P127" s="32"/>
    </row>
    <row r="128" spans="1:16" x14ac:dyDescent="0.35">
      <c r="A128" t="s">
        <v>448</v>
      </c>
      <c r="B128" t="s">
        <v>449</v>
      </c>
      <c r="C128" s="32" t="s">
        <v>199</v>
      </c>
      <c r="D128" s="32"/>
      <c r="E128" s="32" t="s">
        <v>199</v>
      </c>
      <c r="F128" s="32"/>
      <c r="G128" s="32" t="s">
        <v>199</v>
      </c>
      <c r="H128" s="32" t="s">
        <v>199</v>
      </c>
      <c r="I128" s="32" t="s">
        <v>199</v>
      </c>
      <c r="J128" s="32"/>
      <c r="K128" s="32"/>
      <c r="L128" s="32" t="s">
        <v>199</v>
      </c>
      <c r="M128" s="32"/>
      <c r="N128" s="32" t="s">
        <v>199</v>
      </c>
      <c r="O128" s="32" t="s">
        <v>199</v>
      </c>
      <c r="P128" s="32"/>
    </row>
    <row r="129" spans="1:16" x14ac:dyDescent="0.35">
      <c r="A129" t="s">
        <v>450</v>
      </c>
      <c r="B129" t="s">
        <v>451</v>
      </c>
      <c r="C129" s="32" t="s">
        <v>199</v>
      </c>
      <c r="D129" s="32"/>
      <c r="E129" s="32" t="s">
        <v>199</v>
      </c>
      <c r="F129" s="32"/>
      <c r="G129" s="32" t="s">
        <v>199</v>
      </c>
      <c r="H129" s="32" t="s">
        <v>199</v>
      </c>
      <c r="I129" s="32" t="s">
        <v>199</v>
      </c>
      <c r="J129" s="32"/>
      <c r="K129" s="32"/>
      <c r="L129" s="32" t="s">
        <v>199</v>
      </c>
      <c r="M129" s="32"/>
      <c r="N129" s="32" t="s">
        <v>199</v>
      </c>
      <c r="O129" s="32" t="s">
        <v>199</v>
      </c>
      <c r="P129" s="32"/>
    </row>
    <row r="130" spans="1:16" x14ac:dyDescent="0.35">
      <c r="A130" t="s">
        <v>452</v>
      </c>
      <c r="B130" t="s">
        <v>453</v>
      </c>
      <c r="C130" s="32" t="s">
        <v>199</v>
      </c>
      <c r="D130" s="32"/>
      <c r="E130" s="32" t="s">
        <v>199</v>
      </c>
      <c r="F130" s="32"/>
      <c r="G130" s="32" t="s">
        <v>199</v>
      </c>
      <c r="H130" s="32" t="s">
        <v>199</v>
      </c>
      <c r="I130" s="32" t="s">
        <v>199</v>
      </c>
      <c r="J130" s="32"/>
      <c r="K130" s="32"/>
      <c r="L130" s="32" t="s">
        <v>199</v>
      </c>
      <c r="M130" s="32"/>
      <c r="N130" s="32" t="s">
        <v>199</v>
      </c>
      <c r="O130" s="32" t="s">
        <v>199</v>
      </c>
      <c r="P130" s="32"/>
    </row>
    <row r="131" spans="1:16" x14ac:dyDescent="0.35">
      <c r="A131" t="s">
        <v>454</v>
      </c>
      <c r="B131" t="s">
        <v>455</v>
      </c>
      <c r="C131" s="32" t="s">
        <v>199</v>
      </c>
      <c r="D131" s="32"/>
      <c r="E131" s="32" t="s">
        <v>199</v>
      </c>
      <c r="F131" s="32"/>
      <c r="G131" s="32" t="s">
        <v>199</v>
      </c>
      <c r="H131" s="32" t="s">
        <v>199</v>
      </c>
      <c r="I131" s="32" t="s">
        <v>199</v>
      </c>
      <c r="J131" s="32"/>
      <c r="K131" s="32"/>
      <c r="L131" s="32" t="s">
        <v>199</v>
      </c>
      <c r="M131" s="32"/>
      <c r="N131" s="32" t="s">
        <v>199</v>
      </c>
      <c r="O131" s="32" t="s">
        <v>199</v>
      </c>
      <c r="P131" s="32"/>
    </row>
    <row r="132" spans="1:16" x14ac:dyDescent="0.35">
      <c r="A132" t="s">
        <v>456</v>
      </c>
      <c r="B132" t="s">
        <v>457</v>
      </c>
      <c r="C132" s="32" t="s">
        <v>199</v>
      </c>
      <c r="D132" s="32"/>
      <c r="E132" s="32"/>
      <c r="F132" s="32"/>
      <c r="G132" s="32"/>
      <c r="H132" s="32"/>
      <c r="I132" s="32"/>
      <c r="J132" s="32"/>
      <c r="K132" s="32"/>
      <c r="L132" s="32" t="s">
        <v>199</v>
      </c>
      <c r="M132" s="32"/>
      <c r="N132" s="32"/>
      <c r="O132" s="32"/>
      <c r="P132" s="32"/>
    </row>
    <row r="133" spans="1:16" x14ac:dyDescent="0.35">
      <c r="A133" t="s">
        <v>458</v>
      </c>
      <c r="B133" t="s">
        <v>459</v>
      </c>
      <c r="C133" s="32" t="s">
        <v>199</v>
      </c>
      <c r="D133" s="32"/>
      <c r="E133" s="32" t="s">
        <v>199</v>
      </c>
      <c r="F133" s="32"/>
      <c r="G133" s="32" t="s">
        <v>199</v>
      </c>
      <c r="H133" s="32" t="s">
        <v>199</v>
      </c>
      <c r="I133" s="32" t="s">
        <v>199</v>
      </c>
      <c r="J133" s="32"/>
      <c r="K133" s="32"/>
      <c r="L133" s="32" t="s">
        <v>199</v>
      </c>
      <c r="M133" s="32"/>
      <c r="N133" s="32" t="s">
        <v>199</v>
      </c>
      <c r="O133" s="32" t="s">
        <v>199</v>
      </c>
      <c r="P133" s="32"/>
    </row>
    <row r="134" spans="1:16" x14ac:dyDescent="0.35">
      <c r="A134" t="s">
        <v>460</v>
      </c>
      <c r="B134" t="s">
        <v>461</v>
      </c>
      <c r="C134" s="32" t="s">
        <v>199</v>
      </c>
      <c r="D134" s="32"/>
      <c r="E134" s="32"/>
      <c r="F134" s="32" t="s">
        <v>199</v>
      </c>
      <c r="G134" s="32"/>
      <c r="H134" s="32" t="s">
        <v>199</v>
      </c>
      <c r="I134" s="32"/>
      <c r="J134" s="32"/>
      <c r="K134" s="32"/>
      <c r="L134" s="32" t="s">
        <v>199</v>
      </c>
      <c r="M134" s="32"/>
      <c r="N134" s="32"/>
      <c r="O134" s="32"/>
      <c r="P134" s="32"/>
    </row>
    <row r="135" spans="1:16" x14ac:dyDescent="0.35">
      <c r="A135" t="s">
        <v>462</v>
      </c>
      <c r="B135" t="s">
        <v>463</v>
      </c>
      <c r="C135" s="32" t="s">
        <v>199</v>
      </c>
      <c r="D135" s="32"/>
      <c r="E135" s="32"/>
      <c r="F135" s="32"/>
      <c r="G135" s="32"/>
      <c r="H135" s="32"/>
      <c r="I135" s="32"/>
      <c r="J135" s="32"/>
      <c r="K135" s="32"/>
      <c r="L135" s="32" t="s">
        <v>199</v>
      </c>
      <c r="M135" s="32"/>
      <c r="N135" s="32"/>
      <c r="O135" s="32"/>
      <c r="P135" s="32"/>
    </row>
    <row r="136" spans="1:16" x14ac:dyDescent="0.35">
      <c r="A136" t="s">
        <v>464</v>
      </c>
      <c r="B136" t="s">
        <v>465</v>
      </c>
      <c r="C136" s="32" t="s">
        <v>199</v>
      </c>
      <c r="D136" s="32"/>
      <c r="E136" s="32"/>
      <c r="F136" s="32"/>
      <c r="G136" s="32"/>
      <c r="H136" s="32" t="s">
        <v>199</v>
      </c>
      <c r="I136" s="32"/>
      <c r="J136" s="32" t="s">
        <v>199</v>
      </c>
      <c r="K136" s="32"/>
      <c r="L136" s="32" t="s">
        <v>199</v>
      </c>
      <c r="M136" s="32" t="s">
        <v>199</v>
      </c>
      <c r="N136" s="32"/>
      <c r="O136" s="32"/>
      <c r="P136" s="32"/>
    </row>
    <row r="137" spans="1:16" x14ac:dyDescent="0.35">
      <c r="A137" t="s">
        <v>466</v>
      </c>
      <c r="B137" t="s">
        <v>467</v>
      </c>
      <c r="C137" s="32" t="s">
        <v>199</v>
      </c>
      <c r="D137" s="32" t="s">
        <v>199</v>
      </c>
      <c r="E137" s="32"/>
      <c r="F137" s="32" t="s">
        <v>199</v>
      </c>
      <c r="G137" s="32" t="s">
        <v>199</v>
      </c>
      <c r="H137" s="32" t="s">
        <v>199</v>
      </c>
      <c r="I137" s="32"/>
      <c r="J137" s="32"/>
      <c r="K137" s="32"/>
      <c r="L137" s="32" t="s">
        <v>199</v>
      </c>
      <c r="M137" s="32"/>
      <c r="N137" s="32" t="s">
        <v>199</v>
      </c>
      <c r="O137" s="32"/>
      <c r="P137" s="32"/>
    </row>
    <row r="138" spans="1:16" x14ac:dyDescent="0.35">
      <c r="A138" t="s">
        <v>468</v>
      </c>
      <c r="B138" t="s">
        <v>469</v>
      </c>
      <c r="C138" s="32" t="s">
        <v>199</v>
      </c>
      <c r="D138" s="32" t="s">
        <v>199</v>
      </c>
      <c r="E138" s="32"/>
      <c r="F138" s="32" t="s">
        <v>199</v>
      </c>
      <c r="G138" s="32" t="s">
        <v>199</v>
      </c>
      <c r="H138" s="32" t="s">
        <v>199</v>
      </c>
      <c r="I138" s="32"/>
      <c r="J138" s="32"/>
      <c r="K138" s="32"/>
      <c r="L138" s="32" t="s">
        <v>199</v>
      </c>
      <c r="M138" s="32"/>
      <c r="N138" s="32" t="s">
        <v>199</v>
      </c>
      <c r="O138" s="32"/>
      <c r="P138" s="32"/>
    </row>
    <row r="139" spans="1:16" x14ac:dyDescent="0.35">
      <c r="A139" t="s">
        <v>470</v>
      </c>
      <c r="B139" t="s">
        <v>471</v>
      </c>
      <c r="C139" s="32" t="s">
        <v>199</v>
      </c>
      <c r="D139" s="32"/>
      <c r="E139" s="32"/>
      <c r="F139" s="32"/>
      <c r="G139" s="32"/>
      <c r="H139" s="32"/>
      <c r="I139" s="32"/>
      <c r="J139" s="32"/>
      <c r="K139" s="32"/>
      <c r="L139" s="32" t="s">
        <v>199</v>
      </c>
      <c r="M139" s="32"/>
      <c r="N139" s="32"/>
      <c r="O139" s="32"/>
      <c r="P139" s="32"/>
    </row>
    <row r="140" spans="1:16" x14ac:dyDescent="0.35">
      <c r="A140" t="s">
        <v>472</v>
      </c>
      <c r="B140" t="s">
        <v>473</v>
      </c>
      <c r="C140" s="32" t="s">
        <v>199</v>
      </c>
      <c r="D140" s="32"/>
      <c r="E140" s="32"/>
      <c r="F140" s="32"/>
      <c r="G140" s="32"/>
      <c r="H140" s="32" t="s">
        <v>199</v>
      </c>
      <c r="I140" s="32"/>
      <c r="J140" s="32"/>
      <c r="K140" s="32"/>
      <c r="L140" s="32" t="s">
        <v>199</v>
      </c>
      <c r="M140" s="32"/>
      <c r="N140" s="32"/>
      <c r="O140" s="32"/>
      <c r="P140" s="32"/>
    </row>
    <row r="141" spans="1:16" x14ac:dyDescent="0.35">
      <c r="A141" t="s">
        <v>474</v>
      </c>
      <c r="B141" t="s">
        <v>475</v>
      </c>
      <c r="C141" s="32" t="s">
        <v>199</v>
      </c>
      <c r="D141" s="32"/>
      <c r="E141" s="32"/>
      <c r="F141" s="32"/>
      <c r="G141" s="32"/>
      <c r="H141" s="32" t="s">
        <v>199</v>
      </c>
      <c r="I141" s="32"/>
      <c r="J141" s="32"/>
      <c r="K141" s="32"/>
      <c r="L141" s="32" t="s">
        <v>199</v>
      </c>
      <c r="M141" s="32"/>
      <c r="N141" s="32"/>
      <c r="O141" s="32"/>
      <c r="P141" s="32"/>
    </row>
    <row r="142" spans="1:16" x14ac:dyDescent="0.35">
      <c r="A142" t="s">
        <v>476</v>
      </c>
      <c r="B142" t="s">
        <v>477</v>
      </c>
      <c r="C142" s="32" t="s">
        <v>199</v>
      </c>
      <c r="D142" s="32"/>
      <c r="E142" s="32"/>
      <c r="F142" s="32"/>
      <c r="G142" s="32"/>
      <c r="H142" s="32" t="s">
        <v>199</v>
      </c>
      <c r="I142" s="32"/>
      <c r="J142" s="32"/>
      <c r="K142" s="32"/>
      <c r="L142" s="32" t="s">
        <v>199</v>
      </c>
      <c r="M142" s="32"/>
      <c r="N142" s="32"/>
      <c r="O142" s="32"/>
      <c r="P142" s="32"/>
    </row>
    <row r="143" spans="1:16" x14ac:dyDescent="0.35">
      <c r="A143" t="s">
        <v>478</v>
      </c>
      <c r="B143" t="s">
        <v>479</v>
      </c>
      <c r="C143" s="32" t="s">
        <v>199</v>
      </c>
      <c r="D143" s="32" t="s">
        <v>199</v>
      </c>
      <c r="E143" s="32" t="s">
        <v>199</v>
      </c>
      <c r="F143" s="32"/>
      <c r="G143" s="32"/>
      <c r="H143" s="32" t="s">
        <v>199</v>
      </c>
      <c r="I143" s="32"/>
      <c r="J143" s="32" t="s">
        <v>199</v>
      </c>
      <c r="K143" s="32"/>
      <c r="L143" s="32" t="s">
        <v>199</v>
      </c>
      <c r="M143" s="32" t="s">
        <v>199</v>
      </c>
      <c r="N143" s="32"/>
      <c r="O143" s="32"/>
      <c r="P143" s="32"/>
    </row>
    <row r="144" spans="1:16" x14ac:dyDescent="0.35">
      <c r="A144" t="s">
        <v>480</v>
      </c>
      <c r="B144" t="s">
        <v>481</v>
      </c>
      <c r="C144" s="32" t="s">
        <v>199</v>
      </c>
      <c r="D144" s="32"/>
      <c r="E144" s="32" t="s">
        <v>199</v>
      </c>
      <c r="F144" s="32"/>
      <c r="G144" s="32"/>
      <c r="H144" s="32"/>
      <c r="I144" s="32"/>
      <c r="J144" s="32" t="s">
        <v>199</v>
      </c>
      <c r="K144" s="32"/>
      <c r="L144" s="32" t="s">
        <v>199</v>
      </c>
      <c r="M144" s="32"/>
      <c r="N144" s="32"/>
      <c r="O144" s="32"/>
      <c r="P144" s="32"/>
    </row>
    <row r="145" spans="1:16" x14ac:dyDescent="0.35">
      <c r="A145" t="s">
        <v>482</v>
      </c>
      <c r="B145" t="s">
        <v>483</v>
      </c>
      <c r="C145" s="32" t="s">
        <v>199</v>
      </c>
      <c r="D145" s="32"/>
      <c r="E145" s="32"/>
      <c r="F145" s="32"/>
      <c r="G145" s="32"/>
      <c r="H145" s="32"/>
      <c r="I145" s="32"/>
      <c r="J145" s="32"/>
      <c r="K145" s="32"/>
      <c r="L145" s="32" t="s">
        <v>199</v>
      </c>
      <c r="M145" s="32"/>
      <c r="N145" s="32"/>
      <c r="O145" s="32"/>
      <c r="P145" s="32"/>
    </row>
    <row r="146" spans="1:16" x14ac:dyDescent="0.35">
      <c r="A146" t="s">
        <v>484</v>
      </c>
      <c r="B146" t="s">
        <v>485</v>
      </c>
      <c r="C146" s="32" t="s">
        <v>199</v>
      </c>
      <c r="D146" s="32"/>
      <c r="E146" s="32" t="s">
        <v>199</v>
      </c>
      <c r="F146" s="32"/>
      <c r="G146" s="32"/>
      <c r="H146" s="32" t="s">
        <v>199</v>
      </c>
      <c r="I146" s="32"/>
      <c r="J146" s="32" t="s">
        <v>199</v>
      </c>
      <c r="K146" s="32"/>
      <c r="L146" s="32" t="s">
        <v>199</v>
      </c>
      <c r="M146" s="32" t="s">
        <v>199</v>
      </c>
      <c r="N146" s="32"/>
      <c r="O146" s="32"/>
      <c r="P146" s="32"/>
    </row>
    <row r="147" spans="1:16" x14ac:dyDescent="0.35">
      <c r="A147" t="s">
        <v>486</v>
      </c>
      <c r="B147" t="s">
        <v>487</v>
      </c>
      <c r="C147" s="32" t="s">
        <v>199</v>
      </c>
      <c r="D147" s="32"/>
      <c r="E147" s="32" t="s">
        <v>199</v>
      </c>
      <c r="F147" s="32"/>
      <c r="G147" s="32"/>
      <c r="H147" s="32" t="s">
        <v>199</v>
      </c>
      <c r="I147" s="32"/>
      <c r="J147" s="32" t="s">
        <v>199</v>
      </c>
      <c r="K147" s="32"/>
      <c r="L147" s="32" t="s">
        <v>199</v>
      </c>
      <c r="M147" s="32" t="s">
        <v>199</v>
      </c>
      <c r="N147" s="32"/>
      <c r="O147" s="32"/>
      <c r="P147" s="32"/>
    </row>
    <row r="148" spans="1:16" x14ac:dyDescent="0.35">
      <c r="A148" t="s">
        <v>488</v>
      </c>
      <c r="B148" t="s">
        <v>489</v>
      </c>
      <c r="C148" s="32" t="s">
        <v>199</v>
      </c>
      <c r="D148" s="32"/>
      <c r="E148" s="32"/>
      <c r="F148" s="32" t="s">
        <v>199</v>
      </c>
      <c r="G148" s="32"/>
      <c r="H148" s="32" t="s">
        <v>199</v>
      </c>
      <c r="I148" s="32"/>
      <c r="J148" s="32"/>
      <c r="K148" s="32"/>
      <c r="L148" s="32" t="s">
        <v>199</v>
      </c>
      <c r="M148" s="32"/>
      <c r="N148" s="32"/>
      <c r="O148" s="32"/>
      <c r="P148" s="32"/>
    </row>
    <row r="149" spans="1:16" x14ac:dyDescent="0.35">
      <c r="A149" t="s">
        <v>490</v>
      </c>
      <c r="B149" t="s">
        <v>491</v>
      </c>
      <c r="C149" s="32" t="s">
        <v>199</v>
      </c>
      <c r="D149" s="32"/>
      <c r="E149" s="32"/>
      <c r="F149" s="32"/>
      <c r="G149" s="32"/>
      <c r="H149" s="32"/>
      <c r="I149" s="32"/>
      <c r="J149" s="32"/>
      <c r="K149" s="32"/>
      <c r="L149" s="32" t="s">
        <v>199</v>
      </c>
      <c r="M149" s="32"/>
      <c r="N149" s="32"/>
      <c r="O149" s="32"/>
      <c r="P149" s="32"/>
    </row>
    <row r="150" spans="1:16" x14ac:dyDescent="0.35">
      <c r="A150" t="s">
        <v>492</v>
      </c>
      <c r="B150" t="s">
        <v>493</v>
      </c>
      <c r="C150" s="32" t="s">
        <v>199</v>
      </c>
      <c r="D150" s="32"/>
      <c r="E150" s="32" t="s">
        <v>199</v>
      </c>
      <c r="F150" s="32"/>
      <c r="G150" s="32"/>
      <c r="H150" s="32" t="s">
        <v>199</v>
      </c>
      <c r="I150" s="32"/>
      <c r="J150" s="32" t="s">
        <v>199</v>
      </c>
      <c r="K150" s="32"/>
      <c r="L150" s="32" t="s">
        <v>199</v>
      </c>
      <c r="M150" s="32" t="s">
        <v>199</v>
      </c>
      <c r="N150" s="32"/>
      <c r="O150" s="32"/>
      <c r="P150" s="32"/>
    </row>
    <row r="151" spans="1:16" x14ac:dyDescent="0.35">
      <c r="A151" t="s">
        <v>494</v>
      </c>
      <c r="B151" t="s">
        <v>495</v>
      </c>
      <c r="C151" s="32" t="s">
        <v>199</v>
      </c>
      <c r="D151" s="32"/>
      <c r="E151" s="32"/>
      <c r="F151" s="32"/>
      <c r="G151" s="32"/>
      <c r="H151" s="32"/>
      <c r="I151" s="32"/>
      <c r="J151" s="32"/>
      <c r="K151" s="32"/>
      <c r="L151" s="32" t="s">
        <v>199</v>
      </c>
      <c r="M151" s="32"/>
      <c r="N151" s="32"/>
      <c r="O151" s="32"/>
      <c r="P151" s="32"/>
    </row>
    <row r="152" spans="1:16" x14ac:dyDescent="0.35">
      <c r="A152" t="s">
        <v>496</v>
      </c>
      <c r="B152" t="s">
        <v>497</v>
      </c>
      <c r="C152" s="32" t="s">
        <v>199</v>
      </c>
      <c r="D152" s="32"/>
      <c r="E152" s="32"/>
      <c r="F152" s="32"/>
      <c r="G152" s="32"/>
      <c r="H152" s="32"/>
      <c r="I152" s="32"/>
      <c r="J152" s="32"/>
      <c r="K152" s="32"/>
      <c r="L152" s="32" t="s">
        <v>199</v>
      </c>
      <c r="M152" s="32"/>
      <c r="N152" s="32"/>
      <c r="O152" s="32"/>
      <c r="P152" s="32"/>
    </row>
    <row r="153" spans="1:16" x14ac:dyDescent="0.35">
      <c r="A153" t="s">
        <v>498</v>
      </c>
      <c r="B153" t="s">
        <v>499</v>
      </c>
      <c r="C153" s="32" t="s">
        <v>199</v>
      </c>
      <c r="D153" s="32"/>
      <c r="E153" s="32"/>
      <c r="F153" s="32"/>
      <c r="G153" s="32"/>
      <c r="H153" s="32"/>
      <c r="I153" s="32"/>
      <c r="J153" s="32"/>
      <c r="K153" s="32"/>
      <c r="L153" s="32" t="s">
        <v>199</v>
      </c>
      <c r="M153" s="32"/>
      <c r="N153" s="32"/>
      <c r="O153" s="32"/>
      <c r="P153" s="32"/>
    </row>
    <row r="154" spans="1:16" x14ac:dyDescent="0.35">
      <c r="A154" t="s">
        <v>500</v>
      </c>
      <c r="B154" t="s">
        <v>501</v>
      </c>
      <c r="C154" s="32" t="s">
        <v>199</v>
      </c>
      <c r="D154" s="32"/>
      <c r="E154" s="32" t="s">
        <v>199</v>
      </c>
      <c r="F154" s="32"/>
      <c r="G154" s="32"/>
      <c r="H154" s="32" t="s">
        <v>199</v>
      </c>
      <c r="I154" s="32"/>
      <c r="J154" s="32" t="s">
        <v>199</v>
      </c>
      <c r="K154" s="32"/>
      <c r="L154" s="32" t="s">
        <v>199</v>
      </c>
      <c r="M154" s="32" t="s">
        <v>199</v>
      </c>
      <c r="N154" s="32"/>
      <c r="O154" s="32"/>
      <c r="P154" s="32"/>
    </row>
    <row r="155" spans="1:16" x14ac:dyDescent="0.35">
      <c r="A155" t="s">
        <v>502</v>
      </c>
      <c r="B155" t="s">
        <v>503</v>
      </c>
      <c r="C155" s="32" t="s">
        <v>199</v>
      </c>
      <c r="D155" s="32"/>
      <c r="E155" s="32" t="s">
        <v>199</v>
      </c>
      <c r="F155" s="32"/>
      <c r="G155" s="32"/>
      <c r="H155" s="32" t="s">
        <v>199</v>
      </c>
      <c r="I155" s="32"/>
      <c r="J155" s="32" t="s">
        <v>199</v>
      </c>
      <c r="K155" s="32"/>
      <c r="L155" s="32" t="s">
        <v>199</v>
      </c>
      <c r="M155" s="32" t="s">
        <v>199</v>
      </c>
      <c r="N155" s="32"/>
      <c r="O155" s="32"/>
      <c r="P155" s="32"/>
    </row>
    <row r="156" spans="1:16" x14ac:dyDescent="0.35">
      <c r="A156" t="s">
        <v>504</v>
      </c>
      <c r="B156" t="s">
        <v>505</v>
      </c>
      <c r="C156" s="32" t="s">
        <v>199</v>
      </c>
      <c r="D156" s="32"/>
      <c r="E156" s="32" t="s">
        <v>199</v>
      </c>
      <c r="F156" s="32"/>
      <c r="G156" s="32"/>
      <c r="H156" s="32" t="s">
        <v>199</v>
      </c>
      <c r="I156" s="32"/>
      <c r="J156" s="32" t="s">
        <v>199</v>
      </c>
      <c r="K156" s="32"/>
      <c r="L156" s="32" t="s">
        <v>199</v>
      </c>
      <c r="M156" s="32" t="s">
        <v>199</v>
      </c>
      <c r="N156" s="32"/>
      <c r="O156" s="32"/>
      <c r="P156" s="32"/>
    </row>
    <row r="157" spans="1:16" x14ac:dyDescent="0.35">
      <c r="A157" t="s">
        <v>506</v>
      </c>
      <c r="B157" t="s">
        <v>507</v>
      </c>
      <c r="C157" s="32" t="s">
        <v>199</v>
      </c>
      <c r="D157" s="32"/>
      <c r="E157" s="32" t="s">
        <v>199</v>
      </c>
      <c r="F157" s="32"/>
      <c r="G157" s="32"/>
      <c r="H157" s="32" t="s">
        <v>199</v>
      </c>
      <c r="I157" s="32"/>
      <c r="J157" s="32" t="s">
        <v>199</v>
      </c>
      <c r="K157" s="32"/>
      <c r="L157" s="32" t="s">
        <v>199</v>
      </c>
      <c r="M157" s="32" t="s">
        <v>199</v>
      </c>
      <c r="N157" s="32"/>
      <c r="O157" s="32"/>
      <c r="P157" s="32"/>
    </row>
    <row r="158" spans="1:16" x14ac:dyDescent="0.35">
      <c r="A158" t="s">
        <v>508</v>
      </c>
      <c r="B158" t="s">
        <v>509</v>
      </c>
      <c r="C158" s="32" t="s">
        <v>199</v>
      </c>
      <c r="D158" s="32"/>
      <c r="E158" s="32" t="s">
        <v>199</v>
      </c>
      <c r="F158" s="32"/>
      <c r="G158" s="32"/>
      <c r="H158" s="32" t="s">
        <v>199</v>
      </c>
      <c r="I158" s="32"/>
      <c r="J158" s="32" t="s">
        <v>199</v>
      </c>
      <c r="K158" s="32"/>
      <c r="L158" s="32" t="s">
        <v>199</v>
      </c>
      <c r="M158" s="32" t="s">
        <v>199</v>
      </c>
      <c r="N158" s="32"/>
      <c r="O158" s="32"/>
      <c r="P158" s="32"/>
    </row>
    <row r="159" spans="1:16" x14ac:dyDescent="0.35">
      <c r="A159" t="s">
        <v>510</v>
      </c>
      <c r="B159" t="s">
        <v>511</v>
      </c>
      <c r="C159" s="32" t="s">
        <v>199</v>
      </c>
      <c r="D159" s="32" t="s">
        <v>199</v>
      </c>
      <c r="E159" s="32"/>
      <c r="F159" s="32"/>
      <c r="G159" s="32"/>
      <c r="H159" s="32" t="s">
        <v>199</v>
      </c>
      <c r="I159" s="32"/>
      <c r="J159" s="32" t="s">
        <v>199</v>
      </c>
      <c r="K159" s="32"/>
      <c r="L159" s="32" t="s">
        <v>199</v>
      </c>
      <c r="M159" s="32" t="s">
        <v>199</v>
      </c>
      <c r="N159" s="32"/>
      <c r="O159" s="32"/>
      <c r="P159" s="32"/>
    </row>
    <row r="160" spans="1:16" x14ac:dyDescent="0.35">
      <c r="A160" t="s">
        <v>512</v>
      </c>
      <c r="B160" t="s">
        <v>513</v>
      </c>
      <c r="C160" s="32" t="s">
        <v>199</v>
      </c>
      <c r="D160" s="32"/>
      <c r="E160" s="32"/>
      <c r="F160" s="32"/>
      <c r="G160" s="32"/>
      <c r="H160" s="32"/>
      <c r="I160" s="32"/>
      <c r="J160" s="32"/>
      <c r="K160" s="32"/>
      <c r="L160" s="32" t="s">
        <v>199</v>
      </c>
      <c r="M160" s="32"/>
      <c r="N160" s="32"/>
      <c r="O160" s="32"/>
      <c r="P160" s="32"/>
    </row>
    <row r="161" spans="1:16" x14ac:dyDescent="0.35">
      <c r="A161" t="s">
        <v>514</v>
      </c>
      <c r="B161" t="s">
        <v>515</v>
      </c>
      <c r="C161" s="32" t="s">
        <v>199</v>
      </c>
      <c r="D161" s="32"/>
      <c r="E161" s="32"/>
      <c r="F161" s="32"/>
      <c r="G161" s="32"/>
      <c r="H161" s="32"/>
      <c r="I161" s="32"/>
      <c r="J161" s="32"/>
      <c r="K161" s="32"/>
      <c r="L161" s="32" t="s">
        <v>199</v>
      </c>
      <c r="M161" s="32"/>
      <c r="N161" s="32"/>
      <c r="O161" s="32"/>
      <c r="P161" s="32"/>
    </row>
    <row r="162" spans="1:16" x14ac:dyDescent="0.35">
      <c r="A162" t="s">
        <v>516</v>
      </c>
      <c r="B162" t="s">
        <v>517</v>
      </c>
      <c r="C162" s="32" t="s">
        <v>199</v>
      </c>
      <c r="D162" s="32"/>
      <c r="E162" s="32"/>
      <c r="F162" s="32"/>
      <c r="G162" s="32"/>
      <c r="H162" s="32"/>
      <c r="I162" s="32"/>
      <c r="J162" s="32"/>
      <c r="K162" s="32"/>
      <c r="L162" s="32" t="s">
        <v>199</v>
      </c>
      <c r="M162" s="32"/>
      <c r="N162" s="32"/>
      <c r="O162" s="32"/>
      <c r="P162" s="32"/>
    </row>
    <row r="163" spans="1:16" x14ac:dyDescent="0.35">
      <c r="A163" t="s">
        <v>518</v>
      </c>
      <c r="B163" t="s">
        <v>519</v>
      </c>
      <c r="C163" s="32" t="s">
        <v>199</v>
      </c>
      <c r="D163" s="32"/>
      <c r="E163" s="32" t="s">
        <v>199</v>
      </c>
      <c r="F163" s="32"/>
      <c r="G163" s="32"/>
      <c r="H163" s="32"/>
      <c r="I163" s="32"/>
      <c r="J163" s="32" t="s">
        <v>199</v>
      </c>
      <c r="K163" s="32"/>
      <c r="L163" s="32" t="s">
        <v>199</v>
      </c>
      <c r="M163" s="32" t="s">
        <v>199</v>
      </c>
      <c r="N163" s="32"/>
      <c r="O163" s="32"/>
      <c r="P163" s="32"/>
    </row>
    <row r="164" spans="1:16" x14ac:dyDescent="0.35">
      <c r="A164" t="s">
        <v>520</v>
      </c>
      <c r="B164" t="s">
        <v>521</v>
      </c>
      <c r="C164" s="32" t="s">
        <v>199</v>
      </c>
      <c r="D164" s="32"/>
      <c r="E164" s="32" t="s">
        <v>199</v>
      </c>
      <c r="F164" s="32"/>
      <c r="G164" s="32"/>
      <c r="H164" s="32"/>
      <c r="I164" s="32"/>
      <c r="J164" s="32" t="s">
        <v>199</v>
      </c>
      <c r="K164" s="32"/>
      <c r="L164" s="32" t="s">
        <v>199</v>
      </c>
      <c r="M164" s="32" t="s">
        <v>199</v>
      </c>
      <c r="N164" s="32"/>
      <c r="O164" s="32"/>
      <c r="P164" s="32"/>
    </row>
    <row r="165" spans="1:16" x14ac:dyDescent="0.35">
      <c r="A165" t="s">
        <v>522</v>
      </c>
      <c r="B165" t="s">
        <v>523</v>
      </c>
      <c r="C165" s="32" t="s">
        <v>199</v>
      </c>
      <c r="D165" s="32"/>
      <c r="E165" s="32" t="s">
        <v>199</v>
      </c>
      <c r="F165" s="32"/>
      <c r="G165" s="32"/>
      <c r="H165" s="32"/>
      <c r="I165" s="32"/>
      <c r="J165" s="32" t="s">
        <v>199</v>
      </c>
      <c r="K165" s="32"/>
      <c r="L165" s="32" t="s">
        <v>199</v>
      </c>
      <c r="M165" s="32" t="s">
        <v>199</v>
      </c>
      <c r="N165" s="32"/>
      <c r="O165" s="32"/>
      <c r="P165" s="32"/>
    </row>
    <row r="166" spans="1:16" x14ac:dyDescent="0.35">
      <c r="A166" t="s">
        <v>524</v>
      </c>
      <c r="B166" t="s">
        <v>525</v>
      </c>
      <c r="C166" s="32" t="s">
        <v>199</v>
      </c>
      <c r="D166" s="32"/>
      <c r="E166" s="32" t="s">
        <v>199</v>
      </c>
      <c r="F166" s="32"/>
      <c r="G166" s="32"/>
      <c r="H166" s="32"/>
      <c r="I166" s="32"/>
      <c r="J166" s="32" t="s">
        <v>199</v>
      </c>
      <c r="K166" s="32"/>
      <c r="L166" s="32" t="s">
        <v>199</v>
      </c>
      <c r="M166" s="32" t="s">
        <v>199</v>
      </c>
      <c r="N166" s="32"/>
      <c r="O166" s="32"/>
      <c r="P166" s="32"/>
    </row>
    <row r="167" spans="1:16" x14ac:dyDescent="0.35">
      <c r="A167" t="s">
        <v>526</v>
      </c>
      <c r="B167" t="s">
        <v>527</v>
      </c>
      <c r="C167" s="32" t="s">
        <v>199</v>
      </c>
      <c r="D167" s="32"/>
      <c r="E167" s="32" t="s">
        <v>199</v>
      </c>
      <c r="F167" s="32"/>
      <c r="G167" s="32"/>
      <c r="H167" s="32"/>
      <c r="I167" s="32"/>
      <c r="J167" s="32" t="s">
        <v>199</v>
      </c>
      <c r="K167" s="32"/>
      <c r="L167" s="32" t="s">
        <v>199</v>
      </c>
      <c r="M167" s="32" t="s">
        <v>199</v>
      </c>
      <c r="N167" s="32"/>
      <c r="O167" s="32"/>
      <c r="P167" s="32"/>
    </row>
    <row r="168" spans="1:16" x14ac:dyDescent="0.35">
      <c r="A168" t="s">
        <v>528</v>
      </c>
      <c r="B168" t="s">
        <v>529</v>
      </c>
      <c r="C168" s="32" t="s">
        <v>199</v>
      </c>
      <c r="D168" s="32"/>
      <c r="E168" s="32" t="s">
        <v>199</v>
      </c>
      <c r="F168" s="32"/>
      <c r="G168" s="32"/>
      <c r="H168" s="32"/>
      <c r="I168" s="32"/>
      <c r="J168" s="32" t="s">
        <v>199</v>
      </c>
      <c r="K168" s="32"/>
      <c r="L168" s="32" t="s">
        <v>199</v>
      </c>
      <c r="M168" s="32" t="s">
        <v>199</v>
      </c>
      <c r="N168" s="32"/>
      <c r="O168" s="32"/>
      <c r="P168" s="32"/>
    </row>
    <row r="169" spans="1:16" x14ac:dyDescent="0.35">
      <c r="A169" t="s">
        <v>530</v>
      </c>
      <c r="B169" t="s">
        <v>531</v>
      </c>
      <c r="C169" s="32" t="s">
        <v>199</v>
      </c>
      <c r="D169" s="32"/>
      <c r="E169" s="32" t="s">
        <v>199</v>
      </c>
      <c r="F169" s="32" t="s">
        <v>199</v>
      </c>
      <c r="G169" s="32"/>
      <c r="H169" s="32" t="s">
        <v>199</v>
      </c>
      <c r="I169" s="32"/>
      <c r="J169" s="32" t="s">
        <v>199</v>
      </c>
      <c r="K169" s="32"/>
      <c r="L169" s="32" t="s">
        <v>199</v>
      </c>
      <c r="M169" s="32" t="s">
        <v>199</v>
      </c>
      <c r="N169" s="32"/>
      <c r="O169" s="32"/>
      <c r="P169" s="32"/>
    </row>
    <row r="170" spans="1:16" x14ac:dyDescent="0.35">
      <c r="A170" t="s">
        <v>532</v>
      </c>
      <c r="B170" t="s">
        <v>533</v>
      </c>
      <c r="C170" s="32" t="s">
        <v>199</v>
      </c>
      <c r="D170" s="32"/>
      <c r="E170" s="32" t="s">
        <v>199</v>
      </c>
      <c r="F170" s="32"/>
      <c r="G170" s="32"/>
      <c r="H170" s="32"/>
      <c r="I170" s="32"/>
      <c r="J170" s="32" t="s">
        <v>199</v>
      </c>
      <c r="K170" s="32"/>
      <c r="L170" s="32" t="s">
        <v>199</v>
      </c>
      <c r="M170" s="32"/>
      <c r="N170" s="32"/>
      <c r="O170" s="32"/>
      <c r="P170" s="32"/>
    </row>
    <row r="171" spans="1:16" x14ac:dyDescent="0.35">
      <c r="A171" t="s">
        <v>534</v>
      </c>
      <c r="B171" t="s">
        <v>535</v>
      </c>
      <c r="C171" s="32" t="s">
        <v>199</v>
      </c>
      <c r="D171" s="32"/>
      <c r="E171" s="32" t="s">
        <v>199</v>
      </c>
      <c r="F171" s="32"/>
      <c r="G171" s="32"/>
      <c r="H171" s="32"/>
      <c r="I171" s="32"/>
      <c r="J171" s="32" t="s">
        <v>199</v>
      </c>
      <c r="K171" s="32"/>
      <c r="L171" s="32" t="s">
        <v>199</v>
      </c>
      <c r="M171" s="32"/>
      <c r="N171" s="32"/>
      <c r="O171" s="32"/>
      <c r="P171" s="32"/>
    </row>
    <row r="172" spans="1:16" x14ac:dyDescent="0.35">
      <c r="A172" t="s">
        <v>536</v>
      </c>
      <c r="B172" t="s">
        <v>537</v>
      </c>
      <c r="C172" s="32" t="s">
        <v>199</v>
      </c>
      <c r="D172" s="32"/>
      <c r="E172" s="32" t="s">
        <v>199</v>
      </c>
      <c r="F172" s="32"/>
      <c r="G172" s="32"/>
      <c r="H172" s="32"/>
      <c r="I172" s="32"/>
      <c r="J172" s="32" t="s">
        <v>199</v>
      </c>
      <c r="K172" s="32"/>
      <c r="L172" s="32" t="s">
        <v>199</v>
      </c>
      <c r="M172" s="32"/>
      <c r="N172" s="32"/>
      <c r="O172" s="32"/>
      <c r="P172" s="32"/>
    </row>
    <row r="173" spans="1:16" x14ac:dyDescent="0.35">
      <c r="A173" t="s">
        <v>538</v>
      </c>
      <c r="B173" t="s">
        <v>539</v>
      </c>
      <c r="C173" s="32" t="s">
        <v>199</v>
      </c>
      <c r="D173" s="32" t="s">
        <v>199</v>
      </c>
      <c r="E173" s="32" t="s">
        <v>199</v>
      </c>
      <c r="F173" s="32"/>
      <c r="G173" s="32"/>
      <c r="H173" s="32" t="s">
        <v>199</v>
      </c>
      <c r="I173" s="32"/>
      <c r="J173" s="32" t="s">
        <v>199</v>
      </c>
      <c r="K173" s="32"/>
      <c r="L173" s="32" t="s">
        <v>199</v>
      </c>
      <c r="M173" s="32" t="s">
        <v>199</v>
      </c>
      <c r="N173" s="32"/>
      <c r="O173" s="32"/>
      <c r="P173" s="32"/>
    </row>
    <row r="174" spans="1:16" x14ac:dyDescent="0.35">
      <c r="A174" t="s">
        <v>540</v>
      </c>
      <c r="B174" t="s">
        <v>541</v>
      </c>
      <c r="C174" s="32" t="s">
        <v>199</v>
      </c>
      <c r="D174" s="32" t="s">
        <v>199</v>
      </c>
      <c r="E174" s="32"/>
      <c r="F174" s="32"/>
      <c r="G174" s="32"/>
      <c r="H174" s="32" t="s">
        <v>199</v>
      </c>
      <c r="I174" s="32"/>
      <c r="J174" s="32" t="s">
        <v>199</v>
      </c>
      <c r="K174" s="32"/>
      <c r="L174" s="32" t="s">
        <v>199</v>
      </c>
      <c r="M174" s="32" t="s">
        <v>199</v>
      </c>
      <c r="N174" s="32"/>
      <c r="O174" s="32"/>
      <c r="P174" s="32"/>
    </row>
    <row r="175" spans="1:16" x14ac:dyDescent="0.35">
      <c r="A175" t="s">
        <v>542</v>
      </c>
      <c r="B175" t="s">
        <v>543</v>
      </c>
      <c r="C175" s="32" t="s">
        <v>199</v>
      </c>
      <c r="D175" s="32" t="s">
        <v>199</v>
      </c>
      <c r="E175" s="32" t="s">
        <v>199</v>
      </c>
      <c r="F175" s="32"/>
      <c r="G175" s="32"/>
      <c r="H175" s="32" t="s">
        <v>199</v>
      </c>
      <c r="I175" s="32" t="s">
        <v>199</v>
      </c>
      <c r="J175" s="32" t="s">
        <v>199</v>
      </c>
      <c r="K175" s="32"/>
      <c r="L175" s="32" t="s">
        <v>199</v>
      </c>
      <c r="M175" s="32" t="s">
        <v>199</v>
      </c>
      <c r="N175" s="32"/>
      <c r="O175" s="32"/>
      <c r="P175" s="32"/>
    </row>
    <row r="176" spans="1:16" x14ac:dyDescent="0.35">
      <c r="A176" t="s">
        <v>544</v>
      </c>
      <c r="B176" t="s">
        <v>545</v>
      </c>
      <c r="C176" s="32" t="s">
        <v>199</v>
      </c>
      <c r="D176" s="32" t="s">
        <v>199</v>
      </c>
      <c r="E176" s="32" t="s">
        <v>199</v>
      </c>
      <c r="F176" s="32"/>
      <c r="G176" s="32"/>
      <c r="H176" s="32" t="s">
        <v>199</v>
      </c>
      <c r="I176" s="32" t="s">
        <v>199</v>
      </c>
      <c r="J176" s="32" t="s">
        <v>199</v>
      </c>
      <c r="K176" s="32"/>
      <c r="L176" s="32" t="s">
        <v>199</v>
      </c>
      <c r="M176" s="32" t="s">
        <v>199</v>
      </c>
      <c r="N176" s="32"/>
      <c r="O176" s="32"/>
      <c r="P176" s="32"/>
    </row>
    <row r="177" spans="1:16" x14ac:dyDescent="0.35">
      <c r="A177" t="s">
        <v>546</v>
      </c>
      <c r="B177" t="s">
        <v>547</v>
      </c>
      <c r="C177" s="32" t="s">
        <v>199</v>
      </c>
      <c r="D177" s="32" t="s">
        <v>199</v>
      </c>
      <c r="E177" s="32" t="s">
        <v>199</v>
      </c>
      <c r="F177" s="32"/>
      <c r="G177" s="32"/>
      <c r="H177" s="32" t="s">
        <v>199</v>
      </c>
      <c r="I177" s="32" t="s">
        <v>199</v>
      </c>
      <c r="J177" s="32" t="s">
        <v>199</v>
      </c>
      <c r="K177" s="32"/>
      <c r="L177" s="32" t="s">
        <v>199</v>
      </c>
      <c r="M177" s="32" t="s">
        <v>199</v>
      </c>
      <c r="N177" s="32"/>
      <c r="O177" s="32"/>
      <c r="P177" s="32"/>
    </row>
    <row r="178" spans="1:16" x14ac:dyDescent="0.35">
      <c r="A178" t="s">
        <v>548</v>
      </c>
      <c r="B178" t="s">
        <v>549</v>
      </c>
      <c r="C178" s="32" t="s">
        <v>199</v>
      </c>
      <c r="D178" s="32"/>
      <c r="E178" s="32" t="s">
        <v>199</v>
      </c>
      <c r="F178" s="32"/>
      <c r="G178" s="32"/>
      <c r="H178" s="32" t="s">
        <v>199</v>
      </c>
      <c r="I178" s="32"/>
      <c r="J178" s="32" t="s">
        <v>199</v>
      </c>
      <c r="K178" s="32"/>
      <c r="L178" s="32" t="s">
        <v>199</v>
      </c>
      <c r="M178" s="32" t="s">
        <v>199</v>
      </c>
      <c r="N178" s="32"/>
      <c r="O178" s="32"/>
      <c r="P178" s="32"/>
    </row>
    <row r="179" spans="1:16" x14ac:dyDescent="0.35">
      <c r="A179" t="s">
        <v>550</v>
      </c>
      <c r="B179" t="s">
        <v>551</v>
      </c>
      <c r="C179" s="32" t="s">
        <v>199</v>
      </c>
      <c r="D179" s="32"/>
      <c r="E179" s="32"/>
      <c r="F179" s="32"/>
      <c r="G179" s="32"/>
      <c r="H179" s="32"/>
      <c r="I179" s="32"/>
      <c r="J179" s="32"/>
      <c r="K179" s="32"/>
      <c r="L179" s="32" t="s">
        <v>199</v>
      </c>
      <c r="M179" s="32"/>
      <c r="N179" s="32"/>
      <c r="O179" s="32"/>
      <c r="P179" s="32"/>
    </row>
    <row r="180" spans="1:16" x14ac:dyDescent="0.35">
      <c r="A180" t="s">
        <v>552</v>
      </c>
      <c r="B180" t="s">
        <v>553</v>
      </c>
      <c r="C180" s="32" t="s">
        <v>199</v>
      </c>
      <c r="D180" s="32"/>
      <c r="E180" s="32"/>
      <c r="F180" s="32"/>
      <c r="G180" s="32"/>
      <c r="H180" s="32"/>
      <c r="I180" s="32"/>
      <c r="J180" s="32"/>
      <c r="K180" s="32"/>
      <c r="L180" s="32" t="s">
        <v>199</v>
      </c>
      <c r="M180" s="32"/>
      <c r="N180" s="32"/>
      <c r="O180" s="32"/>
      <c r="P180" s="32"/>
    </row>
    <row r="181" spans="1:16" x14ac:dyDescent="0.35">
      <c r="A181" t="s">
        <v>554</v>
      </c>
      <c r="B181" t="s">
        <v>555</v>
      </c>
      <c r="C181" s="32" t="s">
        <v>199</v>
      </c>
      <c r="D181" s="32"/>
      <c r="E181" s="32"/>
      <c r="F181" s="32"/>
      <c r="G181" s="32"/>
      <c r="H181" s="32"/>
      <c r="I181" s="32"/>
      <c r="J181" s="32"/>
      <c r="K181" s="32"/>
      <c r="L181" s="32" t="s">
        <v>199</v>
      </c>
      <c r="M181" s="32"/>
      <c r="N181" s="32"/>
      <c r="O181" s="32"/>
      <c r="P181" s="32"/>
    </row>
    <row r="182" spans="1:16" x14ac:dyDescent="0.35">
      <c r="A182" t="s">
        <v>556</v>
      </c>
      <c r="B182" t="s">
        <v>557</v>
      </c>
      <c r="C182" s="32" t="s">
        <v>199</v>
      </c>
      <c r="D182" s="32"/>
      <c r="E182" s="32" t="s">
        <v>199</v>
      </c>
      <c r="F182" s="32"/>
      <c r="G182" s="32"/>
      <c r="H182" s="32"/>
      <c r="I182" s="32"/>
      <c r="J182" s="32"/>
      <c r="K182" s="32"/>
      <c r="L182" s="32" t="s">
        <v>199</v>
      </c>
      <c r="M182" s="32"/>
      <c r="N182" s="32"/>
      <c r="O182" s="32"/>
      <c r="P182" s="32"/>
    </row>
    <row r="183" spans="1:16" x14ac:dyDescent="0.35">
      <c r="A183" t="s">
        <v>558</v>
      </c>
      <c r="B183" t="s">
        <v>559</v>
      </c>
      <c r="C183" s="32" t="s">
        <v>199</v>
      </c>
      <c r="D183" s="32"/>
      <c r="E183" s="32" t="s">
        <v>199</v>
      </c>
      <c r="F183" s="32"/>
      <c r="G183" s="32"/>
      <c r="H183" s="32"/>
      <c r="I183" s="32"/>
      <c r="J183" s="32"/>
      <c r="K183" s="32"/>
      <c r="L183" s="32" t="s">
        <v>199</v>
      </c>
      <c r="M183" s="32"/>
      <c r="N183" s="32"/>
      <c r="O183" s="32"/>
      <c r="P183" s="32"/>
    </row>
    <row r="184" spans="1:16" x14ac:dyDescent="0.35">
      <c r="A184" t="s">
        <v>560</v>
      </c>
      <c r="B184" t="s">
        <v>561</v>
      </c>
      <c r="C184" s="32" t="s">
        <v>199</v>
      </c>
      <c r="D184" s="32"/>
      <c r="E184" s="32" t="s">
        <v>199</v>
      </c>
      <c r="F184" s="32"/>
      <c r="G184" s="32"/>
      <c r="H184" s="32"/>
      <c r="I184" s="32"/>
      <c r="J184" s="32"/>
      <c r="K184" s="32"/>
      <c r="L184" s="32" t="s">
        <v>199</v>
      </c>
      <c r="M184" s="32"/>
      <c r="N184" s="32"/>
      <c r="O184" s="32"/>
      <c r="P184" s="32"/>
    </row>
    <row r="185" spans="1:16" x14ac:dyDescent="0.35">
      <c r="A185" t="s">
        <v>562</v>
      </c>
      <c r="B185" t="s">
        <v>563</v>
      </c>
      <c r="C185" s="32" t="s">
        <v>199</v>
      </c>
      <c r="D185" s="32"/>
      <c r="E185" s="32" t="s">
        <v>199</v>
      </c>
      <c r="F185" s="32"/>
      <c r="G185" s="32"/>
      <c r="H185" s="32"/>
      <c r="I185" s="32"/>
      <c r="J185" s="32"/>
      <c r="K185" s="32"/>
      <c r="L185" s="32" t="s">
        <v>199</v>
      </c>
      <c r="M185" s="32"/>
      <c r="N185" s="32"/>
      <c r="O185" s="32"/>
      <c r="P185" s="32"/>
    </row>
    <row r="186" spans="1:16" x14ac:dyDescent="0.35">
      <c r="A186" t="s">
        <v>564</v>
      </c>
      <c r="B186" t="s">
        <v>565</v>
      </c>
      <c r="C186" s="32" t="s">
        <v>199</v>
      </c>
      <c r="D186" s="32"/>
      <c r="E186" s="32"/>
      <c r="F186" s="32"/>
      <c r="G186" s="32"/>
      <c r="H186" s="32"/>
      <c r="I186" s="32"/>
      <c r="J186" s="32"/>
      <c r="K186" s="32"/>
      <c r="L186" s="32" t="s">
        <v>199</v>
      </c>
      <c r="M186" s="32"/>
      <c r="N186" s="32"/>
      <c r="O186" s="32"/>
      <c r="P186" s="32"/>
    </row>
    <row r="187" spans="1:16" x14ac:dyDescent="0.35">
      <c r="A187" t="s">
        <v>566</v>
      </c>
      <c r="B187" t="s">
        <v>567</v>
      </c>
      <c r="C187" s="32" t="s">
        <v>199</v>
      </c>
      <c r="D187" s="32" t="s">
        <v>199</v>
      </c>
      <c r="E187" s="32"/>
      <c r="F187" s="32"/>
      <c r="G187" s="32"/>
      <c r="H187" s="32" t="s">
        <v>199</v>
      </c>
      <c r="I187" s="32"/>
      <c r="J187" s="32"/>
      <c r="K187" s="32"/>
      <c r="L187" s="32" t="s">
        <v>199</v>
      </c>
      <c r="M187" s="32"/>
      <c r="N187" s="32"/>
      <c r="O187" s="32"/>
      <c r="P187" s="32"/>
    </row>
    <row r="188" spans="1:16" x14ac:dyDescent="0.35">
      <c r="A188" t="s">
        <v>568</v>
      </c>
      <c r="B188" t="s">
        <v>569</v>
      </c>
      <c r="C188" s="32" t="s">
        <v>199</v>
      </c>
      <c r="D188" s="32" t="s">
        <v>199</v>
      </c>
      <c r="E188" s="32"/>
      <c r="F188" s="32"/>
      <c r="G188" s="32"/>
      <c r="H188" s="32" t="s">
        <v>199</v>
      </c>
      <c r="I188" s="32"/>
      <c r="J188" s="32"/>
      <c r="K188" s="32"/>
      <c r="L188" s="32" t="s">
        <v>199</v>
      </c>
      <c r="M188" s="32"/>
      <c r="N188" s="32"/>
      <c r="O188" s="32"/>
      <c r="P188" s="32"/>
    </row>
    <row r="189" spans="1:16" x14ac:dyDescent="0.35">
      <c r="A189" t="s">
        <v>91</v>
      </c>
      <c r="B189" t="s">
        <v>570</v>
      </c>
      <c r="C189" s="32" t="s">
        <v>199</v>
      </c>
      <c r="D189" s="32"/>
      <c r="E189" s="32"/>
      <c r="F189" s="32"/>
      <c r="G189" s="32"/>
      <c r="H189" s="32" t="s">
        <v>199</v>
      </c>
      <c r="I189" s="32"/>
      <c r="J189" s="32"/>
      <c r="K189" s="32" t="s">
        <v>199</v>
      </c>
      <c r="L189" s="32" t="s">
        <v>199</v>
      </c>
      <c r="M189" s="32"/>
      <c r="N189" s="32"/>
      <c r="O189" s="32"/>
      <c r="P189" s="32"/>
    </row>
    <row r="190" spans="1:16" x14ac:dyDescent="0.35">
      <c r="A190" t="s">
        <v>571</v>
      </c>
      <c r="B190" t="s">
        <v>572</v>
      </c>
      <c r="C190" s="32" t="s">
        <v>199</v>
      </c>
      <c r="D190" s="32"/>
      <c r="E190" s="32"/>
      <c r="F190" s="32"/>
      <c r="G190" s="32"/>
      <c r="H190" s="32" t="s">
        <v>199</v>
      </c>
      <c r="I190" s="32" t="s">
        <v>199</v>
      </c>
      <c r="J190" s="32"/>
      <c r="K190" s="32"/>
      <c r="L190" s="32" t="s">
        <v>199</v>
      </c>
      <c r="M190" s="32"/>
      <c r="N190" s="32"/>
      <c r="O190" s="32"/>
      <c r="P190" s="32"/>
    </row>
    <row r="191" spans="1:16" x14ac:dyDescent="0.35">
      <c r="A191" t="s">
        <v>573</v>
      </c>
      <c r="B191" t="s">
        <v>574</v>
      </c>
      <c r="C191" s="32" t="s">
        <v>199</v>
      </c>
      <c r="D191" s="32" t="s">
        <v>199</v>
      </c>
      <c r="E191" s="32"/>
      <c r="F191" s="32"/>
      <c r="G191" s="32"/>
      <c r="H191" s="32" t="s">
        <v>199</v>
      </c>
      <c r="I191" s="32"/>
      <c r="J191" s="32"/>
      <c r="K191" s="32"/>
      <c r="L191" s="32" t="s">
        <v>199</v>
      </c>
      <c r="M191" s="32"/>
      <c r="N191" s="32"/>
      <c r="O191" s="32"/>
      <c r="P191" s="32"/>
    </row>
    <row r="192" spans="1:16" x14ac:dyDescent="0.35">
      <c r="A192" t="s">
        <v>575</v>
      </c>
      <c r="B192" t="s">
        <v>576</v>
      </c>
      <c r="C192" s="32" t="s">
        <v>199</v>
      </c>
      <c r="D192" s="32" t="s">
        <v>199</v>
      </c>
      <c r="E192" s="32"/>
      <c r="F192" s="32"/>
      <c r="G192" s="32"/>
      <c r="H192" s="32" t="s">
        <v>199</v>
      </c>
      <c r="I192" s="32"/>
      <c r="J192" s="32"/>
      <c r="K192" s="32"/>
      <c r="L192" s="32" t="s">
        <v>199</v>
      </c>
      <c r="M192" s="32"/>
      <c r="N192" s="32"/>
      <c r="O192" s="32"/>
      <c r="P192" s="32"/>
    </row>
    <row r="193" spans="1:16" x14ac:dyDescent="0.35">
      <c r="A193" t="s">
        <v>577</v>
      </c>
      <c r="B193" t="s">
        <v>578</v>
      </c>
      <c r="C193" s="32" t="s">
        <v>199</v>
      </c>
      <c r="D193" s="32"/>
      <c r="E193" s="32"/>
      <c r="F193" s="32"/>
      <c r="G193" s="32"/>
      <c r="H193" s="32" t="s">
        <v>199</v>
      </c>
      <c r="I193" s="32" t="s">
        <v>199</v>
      </c>
      <c r="J193" s="32"/>
      <c r="K193" s="32"/>
      <c r="L193" s="32" t="s">
        <v>199</v>
      </c>
      <c r="M193" s="32"/>
      <c r="N193" s="32"/>
      <c r="O193" s="32"/>
      <c r="P193" s="32"/>
    </row>
    <row r="194" spans="1:16" x14ac:dyDescent="0.35">
      <c r="A194" t="s">
        <v>579</v>
      </c>
      <c r="B194" t="s">
        <v>580</v>
      </c>
      <c r="C194" s="32" t="s">
        <v>199</v>
      </c>
      <c r="D194" s="32"/>
      <c r="E194" s="32"/>
      <c r="F194" s="32" t="s">
        <v>199</v>
      </c>
      <c r="G194" s="32"/>
      <c r="H194" s="32" t="s">
        <v>199</v>
      </c>
      <c r="I194" s="32"/>
      <c r="J194" s="32"/>
      <c r="K194" s="32"/>
      <c r="L194" s="32" t="s">
        <v>199</v>
      </c>
      <c r="M194" s="32"/>
      <c r="N194" s="32"/>
      <c r="O194" s="32"/>
      <c r="P194" s="32"/>
    </row>
    <row r="195" spans="1:16" x14ac:dyDescent="0.35">
      <c r="A195" t="s">
        <v>581</v>
      </c>
      <c r="B195" t="s">
        <v>582</v>
      </c>
      <c r="C195" s="32" t="s">
        <v>199</v>
      </c>
      <c r="D195" s="32"/>
      <c r="E195" s="32"/>
      <c r="F195" s="32" t="s">
        <v>199</v>
      </c>
      <c r="G195" s="32"/>
      <c r="H195" s="32" t="s">
        <v>199</v>
      </c>
      <c r="I195" s="32"/>
      <c r="J195" s="32"/>
      <c r="K195" s="32"/>
      <c r="L195" s="32" t="s">
        <v>199</v>
      </c>
      <c r="M195" s="32"/>
      <c r="N195" s="32"/>
      <c r="O195" s="32"/>
      <c r="P195" s="32"/>
    </row>
    <row r="196" spans="1:16" x14ac:dyDescent="0.35">
      <c r="A196" t="s">
        <v>583</v>
      </c>
      <c r="B196" t="s">
        <v>584</v>
      </c>
      <c r="C196" s="32" t="s">
        <v>199</v>
      </c>
      <c r="D196" s="32"/>
      <c r="E196" s="32"/>
      <c r="F196" s="32" t="s">
        <v>199</v>
      </c>
      <c r="G196" s="32"/>
      <c r="H196" s="32" t="s">
        <v>199</v>
      </c>
      <c r="I196" s="32"/>
      <c r="J196" s="32"/>
      <c r="K196" s="32"/>
      <c r="L196" s="32" t="s">
        <v>199</v>
      </c>
      <c r="M196" s="32"/>
      <c r="N196" s="32"/>
      <c r="O196" s="32"/>
      <c r="P196" s="32"/>
    </row>
    <row r="197" spans="1:16" x14ac:dyDescent="0.35">
      <c r="A197" t="s">
        <v>585</v>
      </c>
      <c r="B197" t="s">
        <v>586</v>
      </c>
      <c r="C197" s="32" t="s">
        <v>199</v>
      </c>
      <c r="D197" s="32"/>
      <c r="E197" s="32"/>
      <c r="F197" s="32" t="s">
        <v>199</v>
      </c>
      <c r="G197" s="32"/>
      <c r="H197" s="32" t="s">
        <v>199</v>
      </c>
      <c r="I197" s="32"/>
      <c r="J197" s="32" t="s">
        <v>199</v>
      </c>
      <c r="K197" s="32"/>
      <c r="L197" s="32" t="s">
        <v>199</v>
      </c>
      <c r="M197" s="32" t="s">
        <v>199</v>
      </c>
      <c r="N197" s="32"/>
      <c r="O197" s="32"/>
      <c r="P197" s="32"/>
    </row>
    <row r="198" spans="1:16" x14ac:dyDescent="0.35">
      <c r="A198" t="s">
        <v>587</v>
      </c>
      <c r="B198" t="s">
        <v>588</v>
      </c>
      <c r="C198" s="32" t="s">
        <v>199</v>
      </c>
      <c r="D198" s="32"/>
      <c r="E198" s="32"/>
      <c r="F198" s="32" t="s">
        <v>199</v>
      </c>
      <c r="G198" s="32"/>
      <c r="H198" s="32" t="s">
        <v>199</v>
      </c>
      <c r="I198" s="32"/>
      <c r="J198" s="32"/>
      <c r="K198" s="32"/>
      <c r="L198" s="32" t="s">
        <v>199</v>
      </c>
      <c r="M198" s="32"/>
      <c r="N198" s="32"/>
      <c r="O198" s="32"/>
      <c r="P198" s="32"/>
    </row>
    <row r="199" spans="1:16" x14ac:dyDescent="0.35">
      <c r="A199" t="s">
        <v>589</v>
      </c>
      <c r="B199" t="s">
        <v>590</v>
      </c>
      <c r="C199" s="32" t="s">
        <v>199</v>
      </c>
      <c r="D199" s="32"/>
      <c r="E199" s="32"/>
      <c r="F199" s="32"/>
      <c r="G199" s="32" t="s">
        <v>199</v>
      </c>
      <c r="H199" s="32" t="s">
        <v>199</v>
      </c>
      <c r="I199" s="32"/>
      <c r="J199" s="32"/>
      <c r="K199" s="32"/>
      <c r="L199" s="32" t="s">
        <v>199</v>
      </c>
      <c r="M199" s="32"/>
      <c r="N199" s="32"/>
      <c r="O199" s="32"/>
      <c r="P199" s="32"/>
    </row>
    <row r="200" spans="1:16" x14ac:dyDescent="0.35">
      <c r="A200" t="s">
        <v>591</v>
      </c>
      <c r="B200" t="s">
        <v>592</v>
      </c>
      <c r="C200" s="32" t="s">
        <v>199</v>
      </c>
      <c r="D200" s="32"/>
      <c r="E200" s="32"/>
      <c r="F200" s="32"/>
      <c r="G200" s="32" t="s">
        <v>199</v>
      </c>
      <c r="H200" s="32" t="s">
        <v>199</v>
      </c>
      <c r="I200" s="32"/>
      <c r="J200" s="32"/>
      <c r="K200" s="32"/>
      <c r="L200" s="32" t="s">
        <v>199</v>
      </c>
      <c r="M200" s="32"/>
      <c r="N200" s="32"/>
      <c r="O200" s="32"/>
      <c r="P200" s="32"/>
    </row>
    <row r="201" spans="1:16" x14ac:dyDescent="0.35">
      <c r="A201" t="s">
        <v>95</v>
      </c>
      <c r="B201" t="s">
        <v>593</v>
      </c>
      <c r="C201" s="32" t="s">
        <v>199</v>
      </c>
      <c r="D201" s="32" t="s">
        <v>199</v>
      </c>
      <c r="E201" s="32"/>
      <c r="F201" s="32"/>
      <c r="G201" s="32"/>
      <c r="H201" s="32" t="s">
        <v>199</v>
      </c>
      <c r="I201" s="32"/>
      <c r="J201" s="32"/>
      <c r="K201" s="32"/>
      <c r="L201" s="32" t="s">
        <v>199</v>
      </c>
      <c r="M201" s="32"/>
      <c r="N201" s="32"/>
      <c r="O201" s="32"/>
      <c r="P201" s="32"/>
    </row>
    <row r="202" spans="1:16" x14ac:dyDescent="0.35">
      <c r="A202" t="s">
        <v>594</v>
      </c>
      <c r="B202" t="s">
        <v>595</v>
      </c>
      <c r="C202" s="32" t="s">
        <v>199</v>
      </c>
      <c r="D202" s="32" t="s">
        <v>199</v>
      </c>
      <c r="E202" s="32"/>
      <c r="F202" s="32"/>
      <c r="G202" s="32"/>
      <c r="H202" s="32" t="s">
        <v>199</v>
      </c>
      <c r="I202" s="32"/>
      <c r="J202" s="32"/>
      <c r="K202" s="32"/>
      <c r="L202" s="32" t="s">
        <v>199</v>
      </c>
      <c r="M202" s="32"/>
      <c r="N202" s="32"/>
      <c r="O202" s="32"/>
      <c r="P202" s="32"/>
    </row>
    <row r="203" spans="1:16" x14ac:dyDescent="0.35">
      <c r="A203" t="s">
        <v>596</v>
      </c>
      <c r="B203" t="s">
        <v>597</v>
      </c>
      <c r="C203" s="32" t="s">
        <v>199</v>
      </c>
      <c r="D203" s="32" t="s">
        <v>199</v>
      </c>
      <c r="E203" s="32"/>
      <c r="F203" s="32"/>
      <c r="G203" s="32"/>
      <c r="H203" s="32" t="s">
        <v>199</v>
      </c>
      <c r="I203" s="32"/>
      <c r="J203" s="32"/>
      <c r="K203" s="32"/>
      <c r="L203" s="32" t="s">
        <v>199</v>
      </c>
      <c r="M203" s="32"/>
      <c r="N203" s="32"/>
      <c r="O203" s="32"/>
      <c r="P203" s="32"/>
    </row>
    <row r="204" spans="1:16" x14ac:dyDescent="0.35">
      <c r="A204" t="s">
        <v>598</v>
      </c>
      <c r="B204" t="s">
        <v>599</v>
      </c>
      <c r="C204" s="32" t="s">
        <v>199</v>
      </c>
      <c r="D204" s="32" t="s">
        <v>199</v>
      </c>
      <c r="E204" s="32" t="s">
        <v>199</v>
      </c>
      <c r="F204" s="32"/>
      <c r="G204" s="32"/>
      <c r="H204" s="32" t="s">
        <v>199</v>
      </c>
      <c r="I204" s="32"/>
      <c r="J204" s="32" t="s">
        <v>199</v>
      </c>
      <c r="K204" s="32"/>
      <c r="L204" s="32" t="s">
        <v>199</v>
      </c>
      <c r="M204" s="32" t="s">
        <v>199</v>
      </c>
      <c r="N204" s="32"/>
      <c r="O204" s="32"/>
      <c r="P204" s="32"/>
    </row>
    <row r="205" spans="1:16" x14ac:dyDescent="0.35">
      <c r="A205" t="s">
        <v>600</v>
      </c>
      <c r="B205" t="s">
        <v>601</v>
      </c>
      <c r="C205" s="32" t="s">
        <v>199</v>
      </c>
      <c r="D205" s="32" t="s">
        <v>199</v>
      </c>
      <c r="E205" s="32"/>
      <c r="F205" s="32"/>
      <c r="G205" s="32"/>
      <c r="H205" s="32" t="s">
        <v>199</v>
      </c>
      <c r="I205" s="32"/>
      <c r="J205" s="32"/>
      <c r="K205" s="32"/>
      <c r="L205" s="32" t="s">
        <v>199</v>
      </c>
      <c r="M205" s="32"/>
      <c r="N205" s="32"/>
      <c r="O205" s="32"/>
      <c r="P205" s="32"/>
    </row>
    <row r="206" spans="1:16" x14ac:dyDescent="0.35">
      <c r="A206" t="s">
        <v>602</v>
      </c>
      <c r="B206" t="s">
        <v>603</v>
      </c>
      <c r="C206" s="32" t="s">
        <v>199</v>
      </c>
      <c r="D206" s="32" t="s">
        <v>199</v>
      </c>
      <c r="E206" s="32"/>
      <c r="F206" s="32"/>
      <c r="G206" s="32"/>
      <c r="H206" s="32" t="s">
        <v>199</v>
      </c>
      <c r="I206" s="32"/>
      <c r="J206" s="32"/>
      <c r="K206" s="32"/>
      <c r="L206" s="32" t="s">
        <v>199</v>
      </c>
      <c r="M206" s="32"/>
      <c r="N206" s="32"/>
      <c r="O206" s="32"/>
      <c r="P206" s="32"/>
    </row>
    <row r="207" spans="1:16" x14ac:dyDescent="0.35">
      <c r="A207" t="s">
        <v>604</v>
      </c>
      <c r="B207" t="s">
        <v>605</v>
      </c>
      <c r="C207" s="32" t="s">
        <v>199</v>
      </c>
      <c r="D207" s="32" t="s">
        <v>199</v>
      </c>
      <c r="E207" s="32"/>
      <c r="F207" s="32"/>
      <c r="G207" s="32"/>
      <c r="H207" s="32" t="s">
        <v>199</v>
      </c>
      <c r="I207" s="32"/>
      <c r="J207" s="32"/>
      <c r="K207" s="32"/>
      <c r="L207" s="32" t="s">
        <v>199</v>
      </c>
      <c r="M207" s="32"/>
      <c r="N207" s="32"/>
      <c r="O207" s="32"/>
      <c r="P207" s="32"/>
    </row>
    <row r="208" spans="1:16" x14ac:dyDescent="0.35">
      <c r="A208" t="s">
        <v>606</v>
      </c>
      <c r="B208" t="s">
        <v>607</v>
      </c>
      <c r="C208" s="32" t="s">
        <v>199</v>
      </c>
      <c r="D208" s="32"/>
      <c r="E208" s="32"/>
      <c r="F208" s="32"/>
      <c r="G208" s="32"/>
      <c r="H208" s="32" t="s">
        <v>199</v>
      </c>
      <c r="I208" s="32" t="s">
        <v>199</v>
      </c>
      <c r="J208" s="32"/>
      <c r="K208" s="32"/>
      <c r="L208" s="32" t="s">
        <v>199</v>
      </c>
      <c r="M208" s="32"/>
      <c r="N208" s="32"/>
      <c r="O208" s="32"/>
      <c r="P208" s="32"/>
    </row>
    <row r="209" spans="1:16" x14ac:dyDescent="0.35">
      <c r="A209" t="s">
        <v>608</v>
      </c>
      <c r="B209" t="s">
        <v>609</v>
      </c>
      <c r="C209" s="32" t="s">
        <v>199</v>
      </c>
      <c r="D209" s="32" t="s">
        <v>199</v>
      </c>
      <c r="E209" s="32"/>
      <c r="F209" s="32"/>
      <c r="G209" s="32"/>
      <c r="H209" s="32" t="s">
        <v>199</v>
      </c>
      <c r="I209" s="32"/>
      <c r="J209" s="32"/>
      <c r="K209" s="32"/>
      <c r="L209" s="32" t="s">
        <v>199</v>
      </c>
      <c r="M209" s="32"/>
      <c r="N209" s="32"/>
      <c r="O209" s="32"/>
      <c r="P209" s="32"/>
    </row>
    <row r="210" spans="1:16" x14ac:dyDescent="0.35">
      <c r="A210" t="s">
        <v>610</v>
      </c>
      <c r="B210" t="s">
        <v>611</v>
      </c>
      <c r="C210" s="32" t="s">
        <v>199</v>
      </c>
      <c r="D210" s="32"/>
      <c r="E210" s="32"/>
      <c r="F210" s="32" t="s">
        <v>199</v>
      </c>
      <c r="G210" s="32"/>
      <c r="H210" s="32" t="s">
        <v>199</v>
      </c>
      <c r="I210" s="32"/>
      <c r="J210" s="32" t="s">
        <v>199</v>
      </c>
      <c r="K210" s="32"/>
      <c r="L210" s="32" t="s">
        <v>199</v>
      </c>
      <c r="M210" s="32" t="s">
        <v>199</v>
      </c>
      <c r="N210" s="32"/>
      <c r="O210" s="32"/>
      <c r="P210" s="32"/>
    </row>
    <row r="211" spans="1:16" x14ac:dyDescent="0.35">
      <c r="A211" t="s">
        <v>612</v>
      </c>
      <c r="B211" t="s">
        <v>613</v>
      </c>
      <c r="C211" s="32" t="s">
        <v>199</v>
      </c>
      <c r="D211" s="32"/>
      <c r="E211" s="32"/>
      <c r="F211" s="32"/>
      <c r="G211" s="32" t="s">
        <v>199</v>
      </c>
      <c r="H211" s="32" t="s">
        <v>199</v>
      </c>
      <c r="I211" s="32"/>
      <c r="J211" s="32"/>
      <c r="K211" s="32"/>
      <c r="L211" s="32" t="s">
        <v>199</v>
      </c>
      <c r="M211" s="32"/>
      <c r="N211" s="32"/>
      <c r="O211" s="32"/>
      <c r="P211" s="32"/>
    </row>
    <row r="212" spans="1:16" x14ac:dyDescent="0.35">
      <c r="A212" t="s">
        <v>614</v>
      </c>
      <c r="B212" t="s">
        <v>615</v>
      </c>
      <c r="C212" s="32" t="s">
        <v>199</v>
      </c>
      <c r="D212" s="32"/>
      <c r="E212" s="32" t="s">
        <v>199</v>
      </c>
      <c r="F212" s="32"/>
      <c r="G212" s="32"/>
      <c r="H212" s="32"/>
      <c r="I212" s="32"/>
      <c r="J212" s="32" t="s">
        <v>199</v>
      </c>
      <c r="K212" s="32"/>
      <c r="L212" s="32" t="s">
        <v>199</v>
      </c>
      <c r="M212" s="32"/>
      <c r="N212" s="32"/>
      <c r="O212" s="32"/>
      <c r="P212" s="32"/>
    </row>
    <row r="213" spans="1:16" x14ac:dyDescent="0.35">
      <c r="A213" t="s">
        <v>616</v>
      </c>
      <c r="B213" t="s">
        <v>617</v>
      </c>
      <c r="C213" s="32" t="s">
        <v>199</v>
      </c>
      <c r="D213" s="32"/>
      <c r="E213" s="32"/>
      <c r="F213" s="32"/>
      <c r="G213" s="32"/>
      <c r="H213" s="32" t="s">
        <v>199</v>
      </c>
      <c r="I213" s="32"/>
      <c r="J213" s="32"/>
      <c r="K213" s="32"/>
      <c r="L213" s="32" t="s">
        <v>199</v>
      </c>
      <c r="M213" s="32"/>
      <c r="N213" s="32"/>
      <c r="O213" s="32"/>
      <c r="P213" s="32"/>
    </row>
    <row r="214" spans="1:16" x14ac:dyDescent="0.35">
      <c r="A214" t="s">
        <v>618</v>
      </c>
      <c r="B214" t="s">
        <v>619</v>
      </c>
      <c r="C214" s="32" t="s">
        <v>199</v>
      </c>
      <c r="D214" s="32"/>
      <c r="E214" s="32" t="s">
        <v>199</v>
      </c>
      <c r="F214" s="32"/>
      <c r="G214" s="32"/>
      <c r="H214" s="32"/>
      <c r="I214" s="32"/>
      <c r="J214" s="32" t="s">
        <v>199</v>
      </c>
      <c r="K214" s="32"/>
      <c r="L214" s="32" t="s">
        <v>199</v>
      </c>
      <c r="M214" s="32"/>
      <c r="N214" s="32"/>
      <c r="O214" s="32"/>
      <c r="P214" s="32"/>
    </row>
    <row r="215" spans="1:16" x14ac:dyDescent="0.35">
      <c r="A215" t="s">
        <v>620</v>
      </c>
      <c r="B215" t="s">
        <v>621</v>
      </c>
      <c r="C215" s="32" t="s">
        <v>199</v>
      </c>
      <c r="D215" s="32"/>
      <c r="E215" s="32"/>
      <c r="F215" s="32"/>
      <c r="G215" s="32"/>
      <c r="H215" s="32"/>
      <c r="I215" s="32"/>
      <c r="J215" s="32"/>
      <c r="K215" s="32"/>
      <c r="L215" s="32" t="s">
        <v>199</v>
      </c>
      <c r="M215" s="32"/>
      <c r="N215" s="32"/>
      <c r="O215" s="32"/>
      <c r="P215" s="32"/>
    </row>
    <row r="216" spans="1:16" x14ac:dyDescent="0.35">
      <c r="A216" t="s">
        <v>622</v>
      </c>
      <c r="B216" t="s">
        <v>623</v>
      </c>
      <c r="C216" s="32" t="s">
        <v>199</v>
      </c>
      <c r="D216" s="32"/>
      <c r="E216" s="32"/>
      <c r="F216" s="32"/>
      <c r="G216" s="32"/>
      <c r="H216" s="32"/>
      <c r="I216" s="32"/>
      <c r="J216" s="32"/>
      <c r="K216" s="32"/>
      <c r="L216" s="32" t="s">
        <v>199</v>
      </c>
      <c r="M216" s="32"/>
      <c r="N216" s="32"/>
      <c r="O216" s="32"/>
      <c r="P216" s="32"/>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1:AI155"/>
  <sheetViews>
    <sheetView showGridLines="0" topLeftCell="N4" workbookViewId="0">
      <selection activeCell="AG8" sqref="AG8"/>
    </sheetView>
  </sheetViews>
  <sheetFormatPr defaultRowHeight="14.5" x14ac:dyDescent="0.35"/>
  <cols>
    <col min="2" max="2" width="17.54296875" bestFit="1" customWidth="1"/>
    <col min="3" max="3" width="36.1796875" bestFit="1" customWidth="1"/>
    <col min="4" max="4" width="14.54296875" customWidth="1"/>
    <col min="6" max="6" width="14.81640625" customWidth="1"/>
    <col min="7" max="7" width="12" customWidth="1"/>
    <col min="8" max="8" width="10.81640625" customWidth="1"/>
    <col min="9" max="9" width="12.81640625" customWidth="1"/>
    <col min="10" max="10" width="10.81640625" customWidth="1"/>
    <col min="11" max="11" width="60.54296875" bestFit="1" customWidth="1"/>
    <col min="12" max="13" width="9.1796875" customWidth="1"/>
    <col min="14" max="28" width="9" customWidth="1"/>
    <col min="30" max="31" width="7.81640625" customWidth="1"/>
    <col min="32" max="32" width="13" customWidth="1"/>
    <col min="33" max="33" width="73.54296875" customWidth="1"/>
    <col min="34" max="34" width="36.81640625" customWidth="1"/>
    <col min="35" max="35" width="24.7265625" customWidth="1"/>
  </cols>
  <sheetData>
    <row r="1" spans="1:35" ht="20" thickBot="1" x14ac:dyDescent="0.4">
      <c r="M1" s="295" t="s">
        <v>624</v>
      </c>
      <c r="N1" s="295"/>
      <c r="O1" s="295"/>
      <c r="P1" s="295"/>
      <c r="Q1" s="295"/>
      <c r="R1" s="295"/>
      <c r="S1" s="295"/>
      <c r="T1" s="295"/>
      <c r="U1" s="295"/>
      <c r="V1" s="295"/>
      <c r="W1" s="295"/>
      <c r="X1" s="295"/>
      <c r="Y1" s="295"/>
      <c r="Z1" s="295"/>
      <c r="AA1" s="295"/>
      <c r="AB1" s="295"/>
    </row>
    <row r="2" spans="1:35" ht="20" thickTop="1" x14ac:dyDescent="0.35">
      <c r="M2" s="215"/>
      <c r="N2" s="215"/>
      <c r="O2" s="215"/>
      <c r="P2" s="215"/>
      <c r="Q2" s="215"/>
      <c r="R2" s="215"/>
      <c r="S2" s="215"/>
      <c r="T2" s="215"/>
      <c r="U2" s="215"/>
      <c r="V2" s="215"/>
      <c r="W2" s="215"/>
      <c r="X2" s="215"/>
      <c r="Y2" s="215"/>
      <c r="Z2" s="215"/>
      <c r="AA2" s="215"/>
      <c r="AB2" s="215"/>
    </row>
    <row r="3" spans="1:35" s="37" customFormat="1" ht="43.5" x14ac:dyDescent="0.35">
      <c r="A3" s="37" t="s">
        <v>46</v>
      </c>
      <c r="B3" s="37" t="s">
        <v>77</v>
      </c>
      <c r="C3" s="37" t="s">
        <v>47</v>
      </c>
      <c r="D3" s="37" t="s">
        <v>625</v>
      </c>
      <c r="E3" s="37" t="s">
        <v>626</v>
      </c>
      <c r="F3" s="37" t="s">
        <v>627</v>
      </c>
      <c r="G3" s="37" t="s">
        <v>628</v>
      </c>
      <c r="H3" s="37" t="s">
        <v>629</v>
      </c>
      <c r="I3" s="37" t="s">
        <v>630</v>
      </c>
      <c r="J3" s="37" t="s">
        <v>631</v>
      </c>
      <c r="K3" s="37" t="s">
        <v>632</v>
      </c>
      <c r="M3" s="37" t="s">
        <v>46</v>
      </c>
      <c r="N3" s="37" t="s">
        <v>153</v>
      </c>
      <c r="O3" s="37" t="s">
        <v>633</v>
      </c>
      <c r="P3" s="37" t="s">
        <v>155</v>
      </c>
      <c r="Q3" s="37" t="s">
        <v>634</v>
      </c>
      <c r="R3" s="37" t="s">
        <v>635</v>
      </c>
      <c r="S3" s="37" t="s">
        <v>156</v>
      </c>
      <c r="T3" s="37" t="s">
        <v>63</v>
      </c>
      <c r="U3" s="37" t="s">
        <v>90</v>
      </c>
      <c r="V3" s="37" t="s">
        <v>157</v>
      </c>
      <c r="W3" s="37" t="s">
        <v>636</v>
      </c>
      <c r="X3" s="37" t="s">
        <v>158</v>
      </c>
      <c r="Y3" s="37" t="s">
        <v>159</v>
      </c>
      <c r="Z3" s="37" t="s">
        <v>160</v>
      </c>
      <c r="AA3" s="37" t="s">
        <v>161</v>
      </c>
      <c r="AB3" s="37" t="s">
        <v>162</v>
      </c>
      <c r="AD3" s="37" t="s">
        <v>637</v>
      </c>
      <c r="AE3" s="37" t="s">
        <v>638</v>
      </c>
      <c r="AF3" s="37" t="s">
        <v>639</v>
      </c>
      <c r="AG3" s="37" t="s">
        <v>640</v>
      </c>
      <c r="AH3" s="37" t="s">
        <v>641</v>
      </c>
      <c r="AI3" s="37" t="s">
        <v>642</v>
      </c>
    </row>
    <row r="4" spans="1:35" x14ac:dyDescent="0.35">
      <c r="A4">
        <f>ROW()-ROW(TPBE[[#Headers],[Index]])</f>
        <v>1</v>
      </c>
      <c r="B4" t="s">
        <v>153</v>
      </c>
      <c r="C4" t="s">
        <v>643</v>
      </c>
      <c r="D4" t="s">
        <v>153</v>
      </c>
      <c r="E4" s="32">
        <f>MATCH(TPBE[[#This Row],[Group]],TPBE_Surplus[Sector],0)</f>
        <v>1</v>
      </c>
      <c r="F4" s="22">
        <f>SUMIFS(Surplus[Forecasted Surplus],Surplus[TPBE],TPBE[[#This Row],[TPBE]])</f>
        <v>0</v>
      </c>
      <c r="G4" s="22" t="b">
        <f>TPBE[[#This Row],[FC Surplus Amount]]&lt;&gt;0</f>
        <v>0</v>
      </c>
      <c r="H4" s="22" t="b">
        <f>SUMIFS(TPBE[FC Surplus Amount],TPBE[Group],TPBE[[#This Row],[Group]])&lt;&gt;0</f>
        <v>0</v>
      </c>
      <c r="I4" s="22" t="str" cm="1">
        <f t="array" ref="I4">IF(TPBE[[#This Row],[Index]]&gt;COUNTIFS(TPBE[Reallocation DD Check],TRUE),"",INDEX(_xlfn._xlws.FILTER(TPBE[TPBE],TPBE[Reallocation DD Check]),TPBE[[#This Row],[Index]]))</f>
        <v/>
      </c>
      <c r="J4" s="22" t="str" cm="1">
        <f t="array" ref="J4">IF(TPBE[[#This Row],[Index]]&gt;COUNTIFS(TPBE[Request DD Check],TRUE),"",INDEX(_xlfn._xlws.FILTER(TPBE[TPBE],TPBE[Request DD Check]),TPBE[[#This Row],[Index]]))</f>
        <v/>
      </c>
      <c r="K4" t="s">
        <v>644</v>
      </c>
      <c r="M4">
        <f>ROW()-ROW(Table4[[#Headers],[Index]])</f>
        <v>1</v>
      </c>
      <c r="N4" t="str" cm="1">
        <f t="array" ref="N4">IF(Table4[[#This Row],[Index]]&lt;=COUNTIFS(Surplus[TPBE],INDEX(Table4[#Headers],SUM(COLUMN()-COLUMN(Table4[[#Headers],[Index]]),1))),T(INDEX(_xlfn._xlws.FILTER(Surplus[Functional Centre],Surplus[TPBE]=INDEX(Table4[#Headers],SUM(COLUMN()-COLUMN(Table4[[#Headers],[Index]]),1))),Table4[[#This Row],[Index]])),"")</f>
        <v/>
      </c>
      <c r="O4" t="str" cm="1">
        <f t="array" ref="O4">IF(Table4[[#This Row],[Index]]&lt;=COUNTIFS(Surplus[TPBE],INDEX(Table4[#Headers],SUM(COLUMN()-COLUMN(Table4[[#Headers],[Index]]),1))),T(INDEX(_xlfn._xlws.FILTER(Surplus[Functional Centre],Surplus[TPBE]=INDEX(Table4[#Headers],SUM(COLUMN()-COLUMN(Table4[[#Headers],[Index]]),1))),Table4[[#This Row],[Index]])),"")</f>
        <v/>
      </c>
      <c r="P4" t="str" cm="1">
        <f t="array" ref="P4">IF(Table4[[#This Row],[Index]]&lt;=COUNTIFS(Surplus[TPBE],INDEX(Table4[#Headers],SUM(COLUMN()-COLUMN(Table4[[#Headers],[Index]]),1))),T(INDEX(_xlfn._xlws.FILTER(Surplus[Functional Centre],Surplus[TPBE]=INDEX(Table4[#Headers],SUM(COLUMN()-COLUMN(Table4[[#Headers],[Index]]),1))),Table4[[#This Row],[Index]])),"")</f>
        <v/>
      </c>
      <c r="Q4" t="str" cm="1">
        <f t="array" ref="Q4">IF(Table4[[#This Row],[Index]]&lt;=COUNTIFS(Surplus[TPBE],INDEX(Table4[#Headers],SUM(COLUMN()-COLUMN(Table4[[#Headers],[Index]]),1))),T(INDEX(_xlfn._xlws.FILTER(Surplus[Functional Centre],Surplus[TPBE]=INDEX(Table4[#Headers],SUM(COLUMN()-COLUMN(Table4[[#Headers],[Index]]),1))),Table4[[#This Row],[Index]])),"")</f>
        <v/>
      </c>
      <c r="R4" t="str" cm="1">
        <f t="array" ref="R4">IF(Table4[[#This Row],[Index]]&lt;=COUNTIFS(Surplus[TPBE],INDEX(Table4[#Headers],SUM(COLUMN()-COLUMN(Table4[[#Headers],[Index]]),1))),T(INDEX(_xlfn._xlws.FILTER(Surplus[Functional Centre],Surplus[TPBE]=INDEX(Table4[#Headers],SUM(COLUMN()-COLUMN(Table4[[#Headers],[Index]]),1))),Table4[[#This Row],[Index]])),"")</f>
        <v/>
      </c>
      <c r="S4" t="str" cm="1">
        <f t="array" ref="S4">IF(Table4[[#This Row],[Index]]&lt;=COUNTIFS(Surplus[TPBE],INDEX(Table4[#Headers],SUM(COLUMN()-COLUMN(Table4[[#Headers],[Index]]),1))),T(INDEX(_xlfn._xlws.FILTER(Surplus[Functional Centre],Surplus[TPBE]=INDEX(Table4[#Headers],SUM(COLUMN()-COLUMN(Table4[[#Headers],[Index]]),1))),Table4[[#This Row],[Index]])),"")</f>
        <v/>
      </c>
      <c r="T4" t="str" cm="1">
        <f t="array" ref="T4">IF(Table4[[#This Row],[Index]]&lt;=COUNTIFS(Surplus[TPBE],INDEX(Table4[#Headers],SUM(COLUMN()-COLUMN(Table4[[#Headers],[Index]]),1))),T(INDEX(_xlfn._xlws.FILTER(Surplus[Functional Centre],Surplus[TPBE]=INDEX(Table4[#Headers],SUM(COLUMN()-COLUMN(Table4[[#Headers],[Index]]),1))),Table4[[#This Row],[Index]])),"")</f>
        <v/>
      </c>
      <c r="U4" t="str" cm="1">
        <f t="array" ref="U4">IF(Table4[[#This Row],[Index]]&lt;=COUNTIFS(Surplus[TPBE],INDEX(Table4[#Headers],SUM(COLUMN()-COLUMN(Table4[[#Headers],[Index]]),1))),T(INDEX(_xlfn._xlws.FILTER(Surplus[Functional Centre],Surplus[TPBE]=INDEX(Table4[#Headers],SUM(COLUMN()-COLUMN(Table4[[#Headers],[Index]]),1))),Table4[[#This Row],[Index]])),"")</f>
        <v/>
      </c>
      <c r="V4" t="str" cm="1">
        <f t="array" ref="V4">IF(Table4[[#This Row],[Index]]&lt;=COUNTIFS(Surplus[TPBE],INDEX(Table4[#Headers],SUM(COLUMN()-COLUMN(Table4[[#Headers],[Index]]),1))),T(INDEX(_xlfn._xlws.FILTER(Surplus[Functional Centre],Surplus[TPBE]=INDEX(Table4[#Headers],SUM(COLUMN()-COLUMN(Table4[[#Headers],[Index]]),1))),Table4[[#This Row],[Index]])),"")</f>
        <v/>
      </c>
      <c r="W4" t="str" cm="1">
        <f t="array" ref="W4">IF(Table4[[#This Row],[Index]]&lt;=COUNTIFS(Surplus[TPBE],INDEX(Table4[#Headers],SUM(COLUMN()-COLUMN(Table4[[#Headers],[Index]]),1))),T(INDEX(_xlfn._xlws.FILTER(Surplus[Functional Centre],Surplus[TPBE]=INDEX(Table4[#Headers],SUM(COLUMN()-COLUMN(Table4[[#Headers],[Index]]),1))),Table4[[#This Row],[Index]])),"")</f>
        <v/>
      </c>
      <c r="X4" t="str" cm="1">
        <f t="array" ref="X4">IF(Table4[[#This Row],[Index]]&lt;=COUNTIFS(Surplus[TPBE],INDEX(Table4[#Headers],SUM(COLUMN()-COLUMN(Table4[[#Headers],[Index]]),1))),T(INDEX(_xlfn._xlws.FILTER(Surplus[Functional Centre],Surplus[TPBE]=INDEX(Table4[#Headers],SUM(COLUMN()-COLUMN(Table4[[#Headers],[Index]]),1))),Table4[[#This Row],[Index]])),"")</f>
        <v/>
      </c>
      <c r="Y4" t="str" cm="1">
        <f t="array" ref="Y4">IF(Table4[[#This Row],[Index]]&lt;=COUNTIFS(Surplus[TPBE],INDEX(Table4[#Headers],SUM(COLUMN()-COLUMN(Table4[[#Headers],[Index]]),1))),T(INDEX(_xlfn._xlws.FILTER(Surplus[Functional Centre],Surplus[TPBE]=INDEX(Table4[#Headers],SUM(COLUMN()-COLUMN(Table4[[#Headers],[Index]]),1))),Table4[[#This Row],[Index]])),"")</f>
        <v/>
      </c>
      <c r="Z4" t="str" cm="1">
        <f t="array" ref="Z4">IF(Table4[[#This Row],[Index]]&lt;=COUNTIFS(Surplus[TPBE],INDEX(Table4[#Headers],SUM(COLUMN()-COLUMN(Table4[[#Headers],[Index]]),1))),T(INDEX(_xlfn._xlws.FILTER(Surplus[Functional Centre],Surplus[TPBE]=INDEX(Table4[#Headers],SUM(COLUMN()-COLUMN(Table4[[#Headers],[Index]]),1))),Table4[[#This Row],[Index]])),"")</f>
        <v/>
      </c>
      <c r="AA4" t="str" cm="1">
        <f t="array" ref="AA4">IF(Table4[[#This Row],[Index]]&lt;=COUNTIFS(Surplus[TPBE],INDEX(Table4[#Headers],SUM(COLUMN()-COLUMN(Table4[[#Headers],[Index]]),1))),T(INDEX(_xlfn._xlws.FILTER(Surplus[Functional Centre],Surplus[TPBE]=INDEX(Table4[#Headers],SUM(COLUMN()-COLUMN(Table4[[#Headers],[Index]]),1))),Table4[[#This Row],[Index]])),"")</f>
        <v/>
      </c>
      <c r="AB4" t="str" cm="1">
        <f t="array" ref="AB4">IF(Table4[[#This Row],[Index]]&lt;=COUNTIFS(Surplus[TPBE],INDEX(Table4[#Headers],SUM(COLUMN()-COLUMN(Table4[[#Headers],[Index]]),1))),T(INDEX(_xlfn._xlws.FILTER(Surplus[Functional Centre],Surplus[TPBE]=INDEX(Table4[#Headers],SUM(COLUMN()-COLUMN(Table4[[#Headers],[Index]]),1))),Table4[[#This Row],[Index]])),"")</f>
        <v/>
      </c>
      <c r="AD4" t="s">
        <v>645</v>
      </c>
      <c r="AE4" s="20" t="s">
        <v>646</v>
      </c>
      <c r="AF4" s="20" t="s">
        <v>647</v>
      </c>
      <c r="AG4" t="s">
        <v>648</v>
      </c>
      <c r="AH4" t="str">
        <f>PROPER(Agencies[[#This Row],[HSP Name]])</f>
        <v>Access Independent Living Services</v>
      </c>
      <c r="AI4" t="s">
        <v>649</v>
      </c>
    </row>
    <row r="5" spans="1:35" x14ac:dyDescent="0.35">
      <c r="A5">
        <f>ROW()-ROW(TPBE[[#Headers],[Index]])</f>
        <v>2</v>
      </c>
      <c r="B5" t="s">
        <v>633</v>
      </c>
      <c r="C5" t="s">
        <v>650</v>
      </c>
      <c r="D5" t="s">
        <v>154</v>
      </c>
      <c r="E5" s="32">
        <f>MATCH(TPBE[[#This Row],[Group]],TPBE_Surplus[Sector],0)</f>
        <v>2</v>
      </c>
      <c r="F5" s="22">
        <f>SUMIFS(Surplus[Forecasted Surplus],Surplus[TPBE],TPBE[[#This Row],[TPBE]])</f>
        <v>0</v>
      </c>
      <c r="G5" s="22" t="b">
        <f>TPBE[[#This Row],[FC Surplus Amount]]&lt;&gt;0</f>
        <v>0</v>
      </c>
      <c r="H5" s="22" t="b">
        <f>SUMIFS(TPBE[FC Surplus Amount],TPBE[Group],TPBE[[#This Row],[Group]])&lt;&gt;0</f>
        <v>0</v>
      </c>
      <c r="I5" s="22" t="str" cm="1">
        <f t="array" ref="I5">IF(TPBE[[#This Row],[Index]]&gt;COUNTIFS(TPBE[Reallocation DD Check],TRUE),"",INDEX(_xlfn._xlws.FILTER(TPBE[TPBE],TPBE[Reallocation DD Check]),TPBE[[#This Row],[Index]]))</f>
        <v/>
      </c>
      <c r="J5" s="22" t="str" cm="1">
        <f t="array" ref="J5">IF(TPBE[[#This Row],[Index]]&gt;COUNTIFS(TPBE[Request DD Check],TRUE),"",INDEX(_xlfn._xlws.FILTER(TPBE[TPBE],TPBE[Request DD Check]),TPBE[[#This Row],[Index]]))</f>
        <v/>
      </c>
      <c r="K5" t="s">
        <v>66</v>
      </c>
      <c r="M5">
        <f>ROW()-ROW(Table4[[#Headers],[Index]])</f>
        <v>2</v>
      </c>
      <c r="N5" t="str" cm="1">
        <f t="array" ref="N5">IF(Table4[[#This Row],[Index]]&lt;=COUNTIFS(Surplus[TPBE],INDEX(Table4[#Headers],SUM(COLUMN()-COLUMN(Table4[[#Headers],[Index]]),1))),T(INDEX(_xlfn._xlws.FILTER(Surplus[Functional Centre],Surplus[TPBE]=INDEX(Table4[#Headers],SUM(COLUMN()-COLUMN(Table4[[#Headers],[Index]]),1))),Table4[[#This Row],[Index]])),"")</f>
        <v/>
      </c>
      <c r="O5" t="str" cm="1">
        <f t="array" ref="O5">IF(Table4[[#This Row],[Index]]&lt;=COUNTIFS(Surplus[TPBE],INDEX(Table4[#Headers],SUM(COLUMN()-COLUMN(Table4[[#Headers],[Index]]),1))),T(INDEX(_xlfn._xlws.FILTER(Surplus[Functional Centre],Surplus[TPBE]=INDEX(Table4[#Headers],SUM(COLUMN()-COLUMN(Table4[[#Headers],[Index]]),1))),Table4[[#This Row],[Index]])),"")</f>
        <v/>
      </c>
      <c r="P5" t="str" cm="1">
        <f t="array" ref="P5">IF(Table4[[#This Row],[Index]]&lt;=COUNTIFS(Surplus[TPBE],INDEX(Table4[#Headers],SUM(COLUMN()-COLUMN(Table4[[#Headers],[Index]]),1))),T(INDEX(_xlfn._xlws.FILTER(Surplus[Functional Centre],Surplus[TPBE]=INDEX(Table4[#Headers],SUM(COLUMN()-COLUMN(Table4[[#Headers],[Index]]),1))),Table4[[#This Row],[Index]])),"")</f>
        <v/>
      </c>
      <c r="Q5" t="str" cm="1">
        <f t="array" ref="Q5">IF(Table4[[#This Row],[Index]]&lt;=COUNTIFS(Surplus[TPBE],INDEX(Table4[#Headers],SUM(COLUMN()-COLUMN(Table4[[#Headers],[Index]]),1))),T(INDEX(_xlfn._xlws.FILTER(Surplus[Functional Centre],Surplus[TPBE]=INDEX(Table4[#Headers],SUM(COLUMN()-COLUMN(Table4[[#Headers],[Index]]),1))),Table4[[#This Row],[Index]])),"")</f>
        <v/>
      </c>
      <c r="R5" t="str" cm="1">
        <f t="array" ref="R5">IF(Table4[[#This Row],[Index]]&lt;=COUNTIFS(Surplus[TPBE],INDEX(Table4[#Headers],SUM(COLUMN()-COLUMN(Table4[[#Headers],[Index]]),1))),T(INDEX(_xlfn._xlws.FILTER(Surplus[Functional Centre],Surplus[TPBE]=INDEX(Table4[#Headers],SUM(COLUMN()-COLUMN(Table4[[#Headers],[Index]]),1))),Table4[[#This Row],[Index]])),"")</f>
        <v/>
      </c>
      <c r="S5" t="str" cm="1">
        <f t="array" ref="S5">IF(Table4[[#This Row],[Index]]&lt;=COUNTIFS(Surplus[TPBE],INDEX(Table4[#Headers],SUM(COLUMN()-COLUMN(Table4[[#Headers],[Index]]),1))),T(INDEX(_xlfn._xlws.FILTER(Surplus[Functional Centre],Surplus[TPBE]=INDEX(Table4[#Headers],SUM(COLUMN()-COLUMN(Table4[[#Headers],[Index]]),1))),Table4[[#This Row],[Index]])),"")</f>
        <v/>
      </c>
      <c r="T5" t="str" cm="1">
        <f t="array" ref="T5">IF(Table4[[#This Row],[Index]]&lt;=COUNTIFS(Surplus[TPBE],INDEX(Table4[#Headers],SUM(COLUMN()-COLUMN(Table4[[#Headers],[Index]]),1))),T(INDEX(_xlfn._xlws.FILTER(Surplus[Functional Centre],Surplus[TPBE]=INDEX(Table4[#Headers],SUM(COLUMN()-COLUMN(Table4[[#Headers],[Index]]),1))),Table4[[#This Row],[Index]])),"")</f>
        <v/>
      </c>
      <c r="U5" t="str" cm="1">
        <f t="array" ref="U5">IF(Table4[[#This Row],[Index]]&lt;=COUNTIFS(Surplus[TPBE],INDEX(Table4[#Headers],SUM(COLUMN()-COLUMN(Table4[[#Headers],[Index]]),1))),T(INDEX(_xlfn._xlws.FILTER(Surplus[Functional Centre],Surplus[TPBE]=INDEX(Table4[#Headers],SUM(COLUMN()-COLUMN(Table4[[#Headers],[Index]]),1))),Table4[[#This Row],[Index]])),"")</f>
        <v/>
      </c>
      <c r="V5" t="str" cm="1">
        <f t="array" ref="V5">IF(Table4[[#This Row],[Index]]&lt;=COUNTIFS(Surplus[TPBE],INDEX(Table4[#Headers],SUM(COLUMN()-COLUMN(Table4[[#Headers],[Index]]),1))),T(INDEX(_xlfn._xlws.FILTER(Surplus[Functional Centre],Surplus[TPBE]=INDEX(Table4[#Headers],SUM(COLUMN()-COLUMN(Table4[[#Headers],[Index]]),1))),Table4[[#This Row],[Index]])),"")</f>
        <v/>
      </c>
      <c r="W5" t="str" cm="1">
        <f t="array" ref="W5">IF(Table4[[#This Row],[Index]]&lt;=COUNTIFS(Surplus[TPBE],INDEX(Table4[#Headers],SUM(COLUMN()-COLUMN(Table4[[#Headers],[Index]]),1))),T(INDEX(_xlfn._xlws.FILTER(Surplus[Functional Centre],Surplus[TPBE]=INDEX(Table4[#Headers],SUM(COLUMN()-COLUMN(Table4[[#Headers],[Index]]),1))),Table4[[#This Row],[Index]])),"")</f>
        <v/>
      </c>
      <c r="X5" t="str" cm="1">
        <f t="array" ref="X5">IF(Table4[[#This Row],[Index]]&lt;=COUNTIFS(Surplus[TPBE],INDEX(Table4[#Headers],SUM(COLUMN()-COLUMN(Table4[[#Headers],[Index]]),1))),T(INDEX(_xlfn._xlws.FILTER(Surplus[Functional Centre],Surplus[TPBE]=INDEX(Table4[#Headers],SUM(COLUMN()-COLUMN(Table4[[#Headers],[Index]]),1))),Table4[[#This Row],[Index]])),"")</f>
        <v/>
      </c>
      <c r="Y5" t="str" cm="1">
        <f t="array" ref="Y5">IF(Table4[[#This Row],[Index]]&lt;=COUNTIFS(Surplus[TPBE],INDEX(Table4[#Headers],SUM(COLUMN()-COLUMN(Table4[[#Headers],[Index]]),1))),T(INDEX(_xlfn._xlws.FILTER(Surplus[Functional Centre],Surplus[TPBE]=INDEX(Table4[#Headers],SUM(COLUMN()-COLUMN(Table4[[#Headers],[Index]]),1))),Table4[[#This Row],[Index]])),"")</f>
        <v/>
      </c>
      <c r="Z5" t="str" cm="1">
        <f t="array" ref="Z5">IF(Table4[[#This Row],[Index]]&lt;=COUNTIFS(Surplus[TPBE],INDEX(Table4[#Headers],SUM(COLUMN()-COLUMN(Table4[[#Headers],[Index]]),1))),T(INDEX(_xlfn._xlws.FILTER(Surplus[Functional Centre],Surplus[TPBE]=INDEX(Table4[#Headers],SUM(COLUMN()-COLUMN(Table4[[#Headers],[Index]]),1))),Table4[[#This Row],[Index]])),"")</f>
        <v/>
      </c>
      <c r="AA5" t="str" cm="1">
        <f t="array" ref="AA5">IF(Table4[[#This Row],[Index]]&lt;=COUNTIFS(Surplus[TPBE],INDEX(Table4[#Headers],SUM(COLUMN()-COLUMN(Table4[[#Headers],[Index]]),1))),T(INDEX(_xlfn._xlws.FILTER(Surplus[Functional Centre],Surplus[TPBE]=INDEX(Table4[#Headers],SUM(COLUMN()-COLUMN(Table4[[#Headers],[Index]]),1))),Table4[[#This Row],[Index]])),"")</f>
        <v/>
      </c>
      <c r="AB5" t="str" cm="1">
        <f t="array" ref="AB5">IF(Table4[[#This Row],[Index]]&lt;=COUNTIFS(Surplus[TPBE],INDEX(Table4[#Headers],SUM(COLUMN()-COLUMN(Table4[[#Headers],[Index]]),1))),T(INDEX(_xlfn._xlws.FILTER(Surplus[Functional Centre],Surplus[TPBE]=INDEX(Table4[#Headers],SUM(COLUMN()-COLUMN(Table4[[#Headers],[Index]]),1))),Table4[[#This Row],[Index]])),"")</f>
        <v/>
      </c>
      <c r="AD5" t="s">
        <v>645</v>
      </c>
      <c r="AE5" s="20" t="s">
        <v>651</v>
      </c>
      <c r="AF5" s="20" t="s">
        <v>652</v>
      </c>
      <c r="AG5" t="s">
        <v>653</v>
      </c>
      <c r="AH5" t="str">
        <f>PROPER(Agencies[[#This Row],[HSP Name]])</f>
        <v>Across Boundaries</v>
      </c>
      <c r="AI5" t="s">
        <v>654</v>
      </c>
    </row>
    <row r="6" spans="1:35" x14ac:dyDescent="0.35">
      <c r="A6">
        <f>ROW()-ROW(TPBE[[#Headers],[Index]])</f>
        <v>3</v>
      </c>
      <c r="B6" t="s">
        <v>155</v>
      </c>
      <c r="C6" t="s">
        <v>28</v>
      </c>
      <c r="D6" t="s">
        <v>155</v>
      </c>
      <c r="E6" s="32">
        <f>MATCH(TPBE[[#This Row],[Group]],TPBE_Surplus[Sector],0)</f>
        <v>3</v>
      </c>
      <c r="F6" s="22">
        <f>SUMIFS(Surplus[Forecasted Surplus],Surplus[TPBE],TPBE[[#This Row],[TPBE]])</f>
        <v>0</v>
      </c>
      <c r="G6" s="22" t="b">
        <f>TPBE[[#This Row],[FC Surplus Amount]]&lt;&gt;0</f>
        <v>0</v>
      </c>
      <c r="H6" s="22" t="b">
        <f>SUMIFS(TPBE[FC Surplus Amount],TPBE[Group],TPBE[[#This Row],[Group]])&lt;&gt;0</f>
        <v>0</v>
      </c>
      <c r="I6" s="22" t="str" cm="1">
        <f t="array" ref="I6">IF(TPBE[[#This Row],[Index]]&gt;COUNTIFS(TPBE[Reallocation DD Check],TRUE),"",INDEX(_xlfn._xlws.FILTER(TPBE[TPBE],TPBE[Reallocation DD Check]),TPBE[[#This Row],[Index]]))</f>
        <v/>
      </c>
      <c r="J6" s="22" t="str" cm="1">
        <f t="array" ref="J6">IF(TPBE[[#This Row],[Index]]&gt;COUNTIFS(TPBE[Request DD Check],TRUE),"",INDEX(_xlfn._xlws.FILTER(TPBE[TPBE],TPBE[Request DD Check]),TPBE[[#This Row],[Index]]))</f>
        <v/>
      </c>
      <c r="K6" t="s">
        <v>655</v>
      </c>
      <c r="M6">
        <f>ROW()-ROW(Table4[[#Headers],[Index]])</f>
        <v>3</v>
      </c>
      <c r="N6" t="str" cm="1">
        <f t="array" ref="N6">IF(Table4[[#This Row],[Index]]&lt;=COUNTIFS(Surplus[TPBE],INDEX(Table4[#Headers],SUM(COLUMN()-COLUMN(Table4[[#Headers],[Index]]),1))),T(INDEX(_xlfn._xlws.FILTER(Surplus[Functional Centre],Surplus[TPBE]=INDEX(Table4[#Headers],SUM(COLUMN()-COLUMN(Table4[[#Headers],[Index]]),1))),Table4[[#This Row],[Index]])),"")</f>
        <v/>
      </c>
      <c r="O6" t="str" cm="1">
        <f t="array" ref="O6">IF(Table4[[#This Row],[Index]]&lt;=COUNTIFS(Surplus[TPBE],INDEX(Table4[#Headers],SUM(COLUMN()-COLUMN(Table4[[#Headers],[Index]]),1))),T(INDEX(_xlfn._xlws.FILTER(Surplus[Functional Centre],Surplus[TPBE]=INDEX(Table4[#Headers],SUM(COLUMN()-COLUMN(Table4[[#Headers],[Index]]),1))),Table4[[#This Row],[Index]])),"")</f>
        <v/>
      </c>
      <c r="P6" t="str" cm="1">
        <f t="array" ref="P6">IF(Table4[[#This Row],[Index]]&lt;=COUNTIFS(Surplus[TPBE],INDEX(Table4[#Headers],SUM(COLUMN()-COLUMN(Table4[[#Headers],[Index]]),1))),T(INDEX(_xlfn._xlws.FILTER(Surplus[Functional Centre],Surplus[TPBE]=INDEX(Table4[#Headers],SUM(COLUMN()-COLUMN(Table4[[#Headers],[Index]]),1))),Table4[[#This Row],[Index]])),"")</f>
        <v/>
      </c>
      <c r="Q6" t="str" cm="1">
        <f t="array" ref="Q6">IF(Table4[[#This Row],[Index]]&lt;=COUNTIFS(Surplus[TPBE],INDEX(Table4[#Headers],SUM(COLUMN()-COLUMN(Table4[[#Headers],[Index]]),1))),T(INDEX(_xlfn._xlws.FILTER(Surplus[Functional Centre],Surplus[TPBE]=INDEX(Table4[#Headers],SUM(COLUMN()-COLUMN(Table4[[#Headers],[Index]]),1))),Table4[[#This Row],[Index]])),"")</f>
        <v/>
      </c>
      <c r="R6" t="str" cm="1">
        <f t="array" ref="R6">IF(Table4[[#This Row],[Index]]&lt;=COUNTIFS(Surplus[TPBE],INDEX(Table4[#Headers],SUM(COLUMN()-COLUMN(Table4[[#Headers],[Index]]),1))),T(INDEX(_xlfn._xlws.FILTER(Surplus[Functional Centre],Surplus[TPBE]=INDEX(Table4[#Headers],SUM(COLUMN()-COLUMN(Table4[[#Headers],[Index]]),1))),Table4[[#This Row],[Index]])),"")</f>
        <v/>
      </c>
      <c r="S6" t="str" cm="1">
        <f t="array" ref="S6">IF(Table4[[#This Row],[Index]]&lt;=COUNTIFS(Surplus[TPBE],INDEX(Table4[#Headers],SUM(COLUMN()-COLUMN(Table4[[#Headers],[Index]]),1))),T(INDEX(_xlfn._xlws.FILTER(Surplus[Functional Centre],Surplus[TPBE]=INDEX(Table4[#Headers],SUM(COLUMN()-COLUMN(Table4[[#Headers],[Index]]),1))),Table4[[#This Row],[Index]])),"")</f>
        <v/>
      </c>
      <c r="T6" t="str" cm="1">
        <f t="array" ref="T6">IF(Table4[[#This Row],[Index]]&lt;=COUNTIFS(Surplus[TPBE],INDEX(Table4[#Headers],SUM(COLUMN()-COLUMN(Table4[[#Headers],[Index]]),1))),T(INDEX(_xlfn._xlws.FILTER(Surplus[Functional Centre],Surplus[TPBE]=INDEX(Table4[#Headers],SUM(COLUMN()-COLUMN(Table4[[#Headers],[Index]]),1))),Table4[[#This Row],[Index]])),"")</f>
        <v/>
      </c>
      <c r="U6" t="str" cm="1">
        <f t="array" ref="U6">IF(Table4[[#This Row],[Index]]&lt;=COUNTIFS(Surplus[TPBE],INDEX(Table4[#Headers],SUM(COLUMN()-COLUMN(Table4[[#Headers],[Index]]),1))),T(INDEX(_xlfn._xlws.FILTER(Surplus[Functional Centre],Surplus[TPBE]=INDEX(Table4[#Headers],SUM(COLUMN()-COLUMN(Table4[[#Headers],[Index]]),1))),Table4[[#This Row],[Index]])),"")</f>
        <v/>
      </c>
      <c r="V6" t="str" cm="1">
        <f t="array" ref="V6">IF(Table4[[#This Row],[Index]]&lt;=COUNTIFS(Surplus[TPBE],INDEX(Table4[#Headers],SUM(COLUMN()-COLUMN(Table4[[#Headers],[Index]]),1))),T(INDEX(_xlfn._xlws.FILTER(Surplus[Functional Centre],Surplus[TPBE]=INDEX(Table4[#Headers],SUM(COLUMN()-COLUMN(Table4[[#Headers],[Index]]),1))),Table4[[#This Row],[Index]])),"")</f>
        <v/>
      </c>
      <c r="W6" t="str" cm="1">
        <f t="array" ref="W6">IF(Table4[[#This Row],[Index]]&lt;=COUNTIFS(Surplus[TPBE],INDEX(Table4[#Headers],SUM(COLUMN()-COLUMN(Table4[[#Headers],[Index]]),1))),T(INDEX(_xlfn._xlws.FILTER(Surplus[Functional Centre],Surplus[TPBE]=INDEX(Table4[#Headers],SUM(COLUMN()-COLUMN(Table4[[#Headers],[Index]]),1))),Table4[[#This Row],[Index]])),"")</f>
        <v/>
      </c>
      <c r="X6" t="str" cm="1">
        <f t="array" ref="X6">IF(Table4[[#This Row],[Index]]&lt;=COUNTIFS(Surplus[TPBE],INDEX(Table4[#Headers],SUM(COLUMN()-COLUMN(Table4[[#Headers],[Index]]),1))),T(INDEX(_xlfn._xlws.FILTER(Surplus[Functional Centre],Surplus[TPBE]=INDEX(Table4[#Headers],SUM(COLUMN()-COLUMN(Table4[[#Headers],[Index]]),1))),Table4[[#This Row],[Index]])),"")</f>
        <v/>
      </c>
      <c r="Y6" t="str" cm="1">
        <f t="array" ref="Y6">IF(Table4[[#This Row],[Index]]&lt;=COUNTIFS(Surplus[TPBE],INDEX(Table4[#Headers],SUM(COLUMN()-COLUMN(Table4[[#Headers],[Index]]),1))),T(INDEX(_xlfn._xlws.FILTER(Surplus[Functional Centre],Surplus[TPBE]=INDEX(Table4[#Headers],SUM(COLUMN()-COLUMN(Table4[[#Headers],[Index]]),1))),Table4[[#This Row],[Index]])),"")</f>
        <v/>
      </c>
      <c r="Z6" t="str" cm="1">
        <f t="array" ref="Z6">IF(Table4[[#This Row],[Index]]&lt;=COUNTIFS(Surplus[TPBE],INDEX(Table4[#Headers],SUM(COLUMN()-COLUMN(Table4[[#Headers],[Index]]),1))),T(INDEX(_xlfn._xlws.FILTER(Surplus[Functional Centre],Surplus[TPBE]=INDEX(Table4[#Headers],SUM(COLUMN()-COLUMN(Table4[[#Headers],[Index]]),1))),Table4[[#This Row],[Index]])),"")</f>
        <v/>
      </c>
      <c r="AA6" t="str" cm="1">
        <f t="array" ref="AA6">IF(Table4[[#This Row],[Index]]&lt;=COUNTIFS(Surplus[TPBE],INDEX(Table4[#Headers],SUM(COLUMN()-COLUMN(Table4[[#Headers],[Index]]),1))),T(INDEX(_xlfn._xlws.FILTER(Surplus[Functional Centre],Surplus[TPBE]=INDEX(Table4[#Headers],SUM(COLUMN()-COLUMN(Table4[[#Headers],[Index]]),1))),Table4[[#This Row],[Index]])),"")</f>
        <v/>
      </c>
      <c r="AB6" t="str" cm="1">
        <f t="array" ref="AB6">IF(Table4[[#This Row],[Index]]&lt;=COUNTIFS(Surplus[TPBE],INDEX(Table4[#Headers],SUM(COLUMN()-COLUMN(Table4[[#Headers],[Index]]),1))),T(INDEX(_xlfn._xlws.FILTER(Surplus[Functional Centre],Surplus[TPBE]=INDEX(Table4[#Headers],SUM(COLUMN()-COLUMN(Table4[[#Headers],[Index]]),1))),Table4[[#This Row],[Index]])),"")</f>
        <v/>
      </c>
      <c r="AD6" t="s">
        <v>645</v>
      </c>
      <c r="AE6" s="20" t="s">
        <v>656</v>
      </c>
      <c r="AF6" s="20" t="s">
        <v>657</v>
      </c>
      <c r="AG6" t="s">
        <v>658</v>
      </c>
      <c r="AH6" t="str">
        <f>PROPER(Agencies[[#This Row],[HSP Name]])</f>
        <v>Addiction Services Of York Region</v>
      </c>
      <c r="AI6" t="s">
        <v>659</v>
      </c>
    </row>
    <row r="7" spans="1:35" x14ac:dyDescent="0.35">
      <c r="A7">
        <f>ROW()-ROW(TPBE[[#Headers],[Index]])</f>
        <v>4</v>
      </c>
      <c r="B7" t="s">
        <v>634</v>
      </c>
      <c r="C7" t="s">
        <v>660</v>
      </c>
      <c r="D7" t="s">
        <v>155</v>
      </c>
      <c r="E7" s="32">
        <f>MATCH(TPBE[[#This Row],[Group]],TPBE_Surplus[Sector],0)</f>
        <v>3</v>
      </c>
      <c r="F7" s="22">
        <f>SUMIFS(Surplus[Forecasted Surplus],Surplus[TPBE],TPBE[[#This Row],[TPBE]])</f>
        <v>0</v>
      </c>
      <c r="G7" s="22" t="b">
        <f>TPBE[[#This Row],[FC Surplus Amount]]&lt;&gt;0</f>
        <v>0</v>
      </c>
      <c r="H7" s="22" t="b">
        <f>SUMIFS(TPBE[FC Surplus Amount],TPBE[Group],TPBE[[#This Row],[Group]])&lt;&gt;0</f>
        <v>0</v>
      </c>
      <c r="I7" s="22" t="str" cm="1">
        <f t="array" ref="I7">IF(TPBE[[#This Row],[Index]]&gt;COUNTIFS(TPBE[Reallocation DD Check],TRUE),"",INDEX(_xlfn._xlws.FILTER(TPBE[TPBE],TPBE[Reallocation DD Check]),TPBE[[#This Row],[Index]]))</f>
        <v/>
      </c>
      <c r="J7" s="22" t="str" cm="1">
        <f t="array" ref="J7">IF(TPBE[[#This Row],[Index]]&gt;COUNTIFS(TPBE[Request DD Check],TRUE),"",INDEX(_xlfn._xlws.FILTER(TPBE[TPBE],TPBE[Request DD Check]),TPBE[[#This Row],[Index]]))</f>
        <v/>
      </c>
      <c r="K7" t="s">
        <v>661</v>
      </c>
      <c r="M7">
        <f>ROW()-ROW(Table4[[#Headers],[Index]])</f>
        <v>4</v>
      </c>
      <c r="N7" t="str" cm="1">
        <f t="array" ref="N7">IF(Table4[[#This Row],[Index]]&lt;=COUNTIFS(Surplus[TPBE],INDEX(Table4[#Headers],SUM(COLUMN()-COLUMN(Table4[[#Headers],[Index]]),1))),T(INDEX(_xlfn._xlws.FILTER(Surplus[Functional Centre],Surplus[TPBE]=INDEX(Table4[#Headers],SUM(COLUMN()-COLUMN(Table4[[#Headers],[Index]]),1))),Table4[[#This Row],[Index]])),"")</f>
        <v/>
      </c>
      <c r="O7" t="str" cm="1">
        <f t="array" ref="O7">IF(Table4[[#This Row],[Index]]&lt;=COUNTIFS(Surplus[TPBE],INDEX(Table4[#Headers],SUM(COLUMN()-COLUMN(Table4[[#Headers],[Index]]),1))),T(INDEX(_xlfn._xlws.FILTER(Surplus[Functional Centre],Surplus[TPBE]=INDEX(Table4[#Headers],SUM(COLUMN()-COLUMN(Table4[[#Headers],[Index]]),1))),Table4[[#This Row],[Index]])),"")</f>
        <v/>
      </c>
      <c r="P7" t="str" cm="1">
        <f t="array" ref="P7">IF(Table4[[#This Row],[Index]]&lt;=COUNTIFS(Surplus[TPBE],INDEX(Table4[#Headers],SUM(COLUMN()-COLUMN(Table4[[#Headers],[Index]]),1))),T(INDEX(_xlfn._xlws.FILTER(Surplus[Functional Centre],Surplus[TPBE]=INDEX(Table4[#Headers],SUM(COLUMN()-COLUMN(Table4[[#Headers],[Index]]),1))),Table4[[#This Row],[Index]])),"")</f>
        <v/>
      </c>
      <c r="Q7" t="str" cm="1">
        <f t="array" ref="Q7">IF(Table4[[#This Row],[Index]]&lt;=COUNTIFS(Surplus[TPBE],INDEX(Table4[#Headers],SUM(COLUMN()-COLUMN(Table4[[#Headers],[Index]]),1))),T(INDEX(_xlfn._xlws.FILTER(Surplus[Functional Centre],Surplus[TPBE]=INDEX(Table4[#Headers],SUM(COLUMN()-COLUMN(Table4[[#Headers],[Index]]),1))),Table4[[#This Row],[Index]])),"")</f>
        <v/>
      </c>
      <c r="R7" t="str" cm="1">
        <f t="array" ref="R7">IF(Table4[[#This Row],[Index]]&lt;=COUNTIFS(Surplus[TPBE],INDEX(Table4[#Headers],SUM(COLUMN()-COLUMN(Table4[[#Headers],[Index]]),1))),T(INDEX(_xlfn._xlws.FILTER(Surplus[Functional Centre],Surplus[TPBE]=INDEX(Table4[#Headers],SUM(COLUMN()-COLUMN(Table4[[#Headers],[Index]]),1))),Table4[[#This Row],[Index]])),"")</f>
        <v/>
      </c>
      <c r="S7" t="str" cm="1">
        <f t="array" ref="S7">IF(Table4[[#This Row],[Index]]&lt;=COUNTIFS(Surplus[TPBE],INDEX(Table4[#Headers],SUM(COLUMN()-COLUMN(Table4[[#Headers],[Index]]),1))),T(INDEX(_xlfn._xlws.FILTER(Surplus[Functional Centre],Surplus[TPBE]=INDEX(Table4[#Headers],SUM(COLUMN()-COLUMN(Table4[[#Headers],[Index]]),1))),Table4[[#This Row],[Index]])),"")</f>
        <v/>
      </c>
      <c r="T7" t="str" cm="1">
        <f t="array" ref="T7">IF(Table4[[#This Row],[Index]]&lt;=COUNTIFS(Surplus[TPBE],INDEX(Table4[#Headers],SUM(COLUMN()-COLUMN(Table4[[#Headers],[Index]]),1))),T(INDEX(_xlfn._xlws.FILTER(Surplus[Functional Centre],Surplus[TPBE]=INDEX(Table4[#Headers],SUM(COLUMN()-COLUMN(Table4[[#Headers],[Index]]),1))),Table4[[#This Row],[Index]])),"")</f>
        <v/>
      </c>
      <c r="U7" t="str" cm="1">
        <f t="array" ref="U7">IF(Table4[[#This Row],[Index]]&lt;=COUNTIFS(Surplus[TPBE],INDEX(Table4[#Headers],SUM(COLUMN()-COLUMN(Table4[[#Headers],[Index]]),1))),T(INDEX(_xlfn._xlws.FILTER(Surplus[Functional Centre],Surplus[TPBE]=INDEX(Table4[#Headers],SUM(COLUMN()-COLUMN(Table4[[#Headers],[Index]]),1))),Table4[[#This Row],[Index]])),"")</f>
        <v/>
      </c>
      <c r="V7" t="str" cm="1">
        <f t="array" ref="V7">IF(Table4[[#This Row],[Index]]&lt;=COUNTIFS(Surplus[TPBE],INDEX(Table4[#Headers],SUM(COLUMN()-COLUMN(Table4[[#Headers],[Index]]),1))),T(INDEX(_xlfn._xlws.FILTER(Surplus[Functional Centre],Surplus[TPBE]=INDEX(Table4[#Headers],SUM(COLUMN()-COLUMN(Table4[[#Headers],[Index]]),1))),Table4[[#This Row],[Index]])),"")</f>
        <v/>
      </c>
      <c r="W7" t="str" cm="1">
        <f t="array" ref="W7">IF(Table4[[#This Row],[Index]]&lt;=COUNTIFS(Surplus[TPBE],INDEX(Table4[#Headers],SUM(COLUMN()-COLUMN(Table4[[#Headers],[Index]]),1))),T(INDEX(_xlfn._xlws.FILTER(Surplus[Functional Centre],Surplus[TPBE]=INDEX(Table4[#Headers],SUM(COLUMN()-COLUMN(Table4[[#Headers],[Index]]),1))),Table4[[#This Row],[Index]])),"")</f>
        <v/>
      </c>
      <c r="X7" t="str" cm="1">
        <f t="array" ref="X7">IF(Table4[[#This Row],[Index]]&lt;=COUNTIFS(Surplus[TPBE],INDEX(Table4[#Headers],SUM(COLUMN()-COLUMN(Table4[[#Headers],[Index]]),1))),T(INDEX(_xlfn._xlws.FILTER(Surplus[Functional Centre],Surplus[TPBE]=INDEX(Table4[#Headers],SUM(COLUMN()-COLUMN(Table4[[#Headers],[Index]]),1))),Table4[[#This Row],[Index]])),"")</f>
        <v/>
      </c>
      <c r="Y7" t="str" cm="1">
        <f t="array" ref="Y7">IF(Table4[[#This Row],[Index]]&lt;=COUNTIFS(Surplus[TPBE],INDEX(Table4[#Headers],SUM(COLUMN()-COLUMN(Table4[[#Headers],[Index]]),1))),T(INDEX(_xlfn._xlws.FILTER(Surplus[Functional Centre],Surplus[TPBE]=INDEX(Table4[#Headers],SUM(COLUMN()-COLUMN(Table4[[#Headers],[Index]]),1))),Table4[[#This Row],[Index]])),"")</f>
        <v/>
      </c>
      <c r="Z7" t="str" cm="1">
        <f t="array" ref="Z7">IF(Table4[[#This Row],[Index]]&lt;=COUNTIFS(Surplus[TPBE],INDEX(Table4[#Headers],SUM(COLUMN()-COLUMN(Table4[[#Headers],[Index]]),1))),T(INDEX(_xlfn._xlws.FILTER(Surplus[Functional Centre],Surplus[TPBE]=INDEX(Table4[#Headers],SUM(COLUMN()-COLUMN(Table4[[#Headers],[Index]]),1))),Table4[[#This Row],[Index]])),"")</f>
        <v/>
      </c>
      <c r="AA7" t="str" cm="1">
        <f t="array" ref="AA7">IF(Table4[[#This Row],[Index]]&lt;=COUNTIFS(Surplus[TPBE],INDEX(Table4[#Headers],SUM(COLUMN()-COLUMN(Table4[[#Headers],[Index]]),1))),T(INDEX(_xlfn._xlws.FILTER(Surplus[Functional Centre],Surplus[TPBE]=INDEX(Table4[#Headers],SUM(COLUMN()-COLUMN(Table4[[#Headers],[Index]]),1))),Table4[[#This Row],[Index]])),"")</f>
        <v/>
      </c>
      <c r="AB7" t="str" cm="1">
        <f t="array" ref="AB7">IF(Table4[[#This Row],[Index]]&lt;=COUNTIFS(Surplus[TPBE],INDEX(Table4[#Headers],SUM(COLUMN()-COLUMN(Table4[[#Headers],[Index]]),1))),T(INDEX(_xlfn._xlws.FILTER(Surplus[Functional Centre],Surplus[TPBE]=INDEX(Table4[#Headers],SUM(COLUMN()-COLUMN(Table4[[#Headers],[Index]]),1))),Table4[[#This Row],[Index]])),"")</f>
        <v/>
      </c>
      <c r="AD7" t="s">
        <v>645</v>
      </c>
      <c r="AE7" s="20" t="s">
        <v>662</v>
      </c>
      <c r="AF7" s="20" t="s">
        <v>663</v>
      </c>
      <c r="AG7" t="s">
        <v>664</v>
      </c>
      <c r="AH7" t="str">
        <f>PROPER(Agencies[[#This Row],[HSP Name]])</f>
        <v>Alzheimer Society Of York Region</v>
      </c>
      <c r="AI7" t="s">
        <v>665</v>
      </c>
    </row>
    <row r="8" spans="1:35" x14ac:dyDescent="0.35">
      <c r="A8">
        <f>ROW()-ROW(TPBE[[#Headers],[Index]])</f>
        <v>5</v>
      </c>
      <c r="B8" t="s">
        <v>635</v>
      </c>
      <c r="C8" t="s">
        <v>666</v>
      </c>
      <c r="D8" t="s">
        <v>155</v>
      </c>
      <c r="E8" s="32">
        <f>MATCH(TPBE[[#This Row],[Group]],TPBE_Surplus[Sector],0)</f>
        <v>3</v>
      </c>
      <c r="F8" s="22">
        <f>SUMIFS(Surplus[Forecasted Surplus],Surplus[TPBE],TPBE[[#This Row],[TPBE]])</f>
        <v>0</v>
      </c>
      <c r="G8" s="22" t="b">
        <f>TPBE[[#This Row],[FC Surplus Amount]]&lt;&gt;0</f>
        <v>0</v>
      </c>
      <c r="H8" s="22" t="b">
        <f>SUMIFS(TPBE[FC Surplus Amount],TPBE[Group],TPBE[[#This Row],[Group]])&lt;&gt;0</f>
        <v>0</v>
      </c>
      <c r="I8" s="22" t="str" cm="1">
        <f t="array" ref="I8">IF(TPBE[[#This Row],[Index]]&gt;COUNTIFS(TPBE[Reallocation DD Check],TRUE),"",INDEX(_xlfn._xlws.FILTER(TPBE[TPBE],TPBE[Reallocation DD Check]),TPBE[[#This Row],[Index]]))</f>
        <v/>
      </c>
      <c r="J8" s="22" t="str" cm="1">
        <f t="array" ref="J8">IF(TPBE[[#This Row],[Index]]&gt;COUNTIFS(TPBE[Request DD Check],TRUE),"",INDEX(_xlfn._xlws.FILTER(TPBE[TPBE],TPBE[Request DD Check]),TPBE[[#This Row],[Index]]))</f>
        <v/>
      </c>
      <c r="K8" t="s">
        <v>667</v>
      </c>
      <c r="M8">
        <f>ROW()-ROW(Table4[[#Headers],[Index]])</f>
        <v>5</v>
      </c>
      <c r="N8" t="str" cm="1">
        <f t="array" ref="N8">IF(Table4[[#This Row],[Index]]&lt;=COUNTIFS(Surplus[TPBE],INDEX(Table4[#Headers],SUM(COLUMN()-COLUMN(Table4[[#Headers],[Index]]),1))),T(INDEX(_xlfn._xlws.FILTER(Surplus[Functional Centre],Surplus[TPBE]=INDEX(Table4[#Headers],SUM(COLUMN()-COLUMN(Table4[[#Headers],[Index]]),1))),Table4[[#This Row],[Index]])),"")</f>
        <v/>
      </c>
      <c r="O8" t="str" cm="1">
        <f t="array" ref="O8">IF(Table4[[#This Row],[Index]]&lt;=COUNTIFS(Surplus[TPBE],INDEX(Table4[#Headers],SUM(COLUMN()-COLUMN(Table4[[#Headers],[Index]]),1))),T(INDEX(_xlfn._xlws.FILTER(Surplus[Functional Centre],Surplus[TPBE]=INDEX(Table4[#Headers],SUM(COLUMN()-COLUMN(Table4[[#Headers],[Index]]),1))),Table4[[#This Row],[Index]])),"")</f>
        <v/>
      </c>
      <c r="P8" t="str" cm="1">
        <f t="array" ref="P8">IF(Table4[[#This Row],[Index]]&lt;=COUNTIFS(Surplus[TPBE],INDEX(Table4[#Headers],SUM(COLUMN()-COLUMN(Table4[[#Headers],[Index]]),1))),T(INDEX(_xlfn._xlws.FILTER(Surplus[Functional Centre],Surplus[TPBE]=INDEX(Table4[#Headers],SUM(COLUMN()-COLUMN(Table4[[#Headers],[Index]]),1))),Table4[[#This Row],[Index]])),"")</f>
        <v/>
      </c>
      <c r="Q8" t="str" cm="1">
        <f t="array" ref="Q8">IF(Table4[[#This Row],[Index]]&lt;=COUNTIFS(Surplus[TPBE],INDEX(Table4[#Headers],SUM(COLUMN()-COLUMN(Table4[[#Headers],[Index]]),1))),T(INDEX(_xlfn._xlws.FILTER(Surplus[Functional Centre],Surplus[TPBE]=INDEX(Table4[#Headers],SUM(COLUMN()-COLUMN(Table4[[#Headers],[Index]]),1))),Table4[[#This Row],[Index]])),"")</f>
        <v/>
      </c>
      <c r="R8" t="str" cm="1">
        <f t="array" ref="R8">IF(Table4[[#This Row],[Index]]&lt;=COUNTIFS(Surplus[TPBE],INDEX(Table4[#Headers],SUM(COLUMN()-COLUMN(Table4[[#Headers],[Index]]),1))),T(INDEX(_xlfn._xlws.FILTER(Surplus[Functional Centre],Surplus[TPBE]=INDEX(Table4[#Headers],SUM(COLUMN()-COLUMN(Table4[[#Headers],[Index]]),1))),Table4[[#This Row],[Index]])),"")</f>
        <v/>
      </c>
      <c r="S8" t="str" cm="1">
        <f t="array" ref="S8">IF(Table4[[#This Row],[Index]]&lt;=COUNTIFS(Surplus[TPBE],INDEX(Table4[#Headers],SUM(COLUMN()-COLUMN(Table4[[#Headers],[Index]]),1))),T(INDEX(_xlfn._xlws.FILTER(Surplus[Functional Centre],Surplus[TPBE]=INDEX(Table4[#Headers],SUM(COLUMN()-COLUMN(Table4[[#Headers],[Index]]),1))),Table4[[#This Row],[Index]])),"")</f>
        <v/>
      </c>
      <c r="T8" t="str" cm="1">
        <f t="array" ref="T8">IF(Table4[[#This Row],[Index]]&lt;=COUNTIFS(Surplus[TPBE],INDEX(Table4[#Headers],SUM(COLUMN()-COLUMN(Table4[[#Headers],[Index]]),1))),T(INDEX(_xlfn._xlws.FILTER(Surplus[Functional Centre],Surplus[TPBE]=INDEX(Table4[#Headers],SUM(COLUMN()-COLUMN(Table4[[#Headers],[Index]]),1))),Table4[[#This Row],[Index]])),"")</f>
        <v/>
      </c>
      <c r="U8" t="str" cm="1">
        <f t="array" ref="U8">IF(Table4[[#This Row],[Index]]&lt;=COUNTIFS(Surplus[TPBE],INDEX(Table4[#Headers],SUM(COLUMN()-COLUMN(Table4[[#Headers],[Index]]),1))),T(INDEX(_xlfn._xlws.FILTER(Surplus[Functional Centre],Surplus[TPBE]=INDEX(Table4[#Headers],SUM(COLUMN()-COLUMN(Table4[[#Headers],[Index]]),1))),Table4[[#This Row],[Index]])),"")</f>
        <v/>
      </c>
      <c r="V8" t="str" cm="1">
        <f t="array" ref="V8">IF(Table4[[#This Row],[Index]]&lt;=COUNTIFS(Surplus[TPBE],INDEX(Table4[#Headers],SUM(COLUMN()-COLUMN(Table4[[#Headers],[Index]]),1))),T(INDEX(_xlfn._xlws.FILTER(Surplus[Functional Centre],Surplus[TPBE]=INDEX(Table4[#Headers],SUM(COLUMN()-COLUMN(Table4[[#Headers],[Index]]),1))),Table4[[#This Row],[Index]])),"")</f>
        <v/>
      </c>
      <c r="W8" t="str" cm="1">
        <f t="array" ref="W8">IF(Table4[[#This Row],[Index]]&lt;=COUNTIFS(Surplus[TPBE],INDEX(Table4[#Headers],SUM(COLUMN()-COLUMN(Table4[[#Headers],[Index]]),1))),T(INDEX(_xlfn._xlws.FILTER(Surplus[Functional Centre],Surplus[TPBE]=INDEX(Table4[#Headers],SUM(COLUMN()-COLUMN(Table4[[#Headers],[Index]]),1))),Table4[[#This Row],[Index]])),"")</f>
        <v/>
      </c>
      <c r="X8" t="str" cm="1">
        <f t="array" ref="X8">IF(Table4[[#This Row],[Index]]&lt;=COUNTIFS(Surplus[TPBE],INDEX(Table4[#Headers],SUM(COLUMN()-COLUMN(Table4[[#Headers],[Index]]),1))),T(INDEX(_xlfn._xlws.FILTER(Surplus[Functional Centre],Surplus[TPBE]=INDEX(Table4[#Headers],SUM(COLUMN()-COLUMN(Table4[[#Headers],[Index]]),1))),Table4[[#This Row],[Index]])),"")</f>
        <v/>
      </c>
      <c r="Y8" t="str" cm="1">
        <f t="array" ref="Y8">IF(Table4[[#This Row],[Index]]&lt;=COUNTIFS(Surplus[TPBE],INDEX(Table4[#Headers],SUM(COLUMN()-COLUMN(Table4[[#Headers],[Index]]),1))),T(INDEX(_xlfn._xlws.FILTER(Surplus[Functional Centre],Surplus[TPBE]=INDEX(Table4[#Headers],SUM(COLUMN()-COLUMN(Table4[[#Headers],[Index]]),1))),Table4[[#This Row],[Index]])),"")</f>
        <v/>
      </c>
      <c r="Z8" t="str" cm="1">
        <f t="array" ref="Z8">IF(Table4[[#This Row],[Index]]&lt;=COUNTIFS(Surplus[TPBE],INDEX(Table4[#Headers],SUM(COLUMN()-COLUMN(Table4[[#Headers],[Index]]),1))),T(INDEX(_xlfn._xlws.FILTER(Surplus[Functional Centre],Surplus[TPBE]=INDEX(Table4[#Headers],SUM(COLUMN()-COLUMN(Table4[[#Headers],[Index]]),1))),Table4[[#This Row],[Index]])),"")</f>
        <v/>
      </c>
      <c r="AA8" t="str" cm="1">
        <f t="array" ref="AA8">IF(Table4[[#This Row],[Index]]&lt;=COUNTIFS(Surplus[TPBE],INDEX(Table4[#Headers],SUM(COLUMN()-COLUMN(Table4[[#Headers],[Index]]),1))),T(INDEX(_xlfn._xlws.FILTER(Surplus[Functional Centre],Surplus[TPBE]=INDEX(Table4[#Headers],SUM(COLUMN()-COLUMN(Table4[[#Headers],[Index]]),1))),Table4[[#This Row],[Index]])),"")</f>
        <v/>
      </c>
      <c r="AB8" t="str" cm="1">
        <f t="array" ref="AB8">IF(Table4[[#This Row],[Index]]&lt;=COUNTIFS(Surplus[TPBE],INDEX(Table4[#Headers],SUM(COLUMN()-COLUMN(Table4[[#Headers],[Index]]),1))),T(INDEX(_xlfn._xlws.FILTER(Surplus[Functional Centre],Surplus[TPBE]=INDEX(Table4[#Headers],SUM(COLUMN()-COLUMN(Table4[[#Headers],[Index]]),1))),Table4[[#This Row],[Index]])),"")</f>
        <v/>
      </c>
      <c r="AD8" t="s">
        <v>645</v>
      </c>
      <c r="AE8" s="20" t="s">
        <v>668</v>
      </c>
      <c r="AF8" s="20" t="s">
        <v>669</v>
      </c>
      <c r="AG8" t="s">
        <v>670</v>
      </c>
      <c r="AH8" t="str">
        <f>PROPER(Agencies[[#This Row],[HSP Name]])</f>
        <v>Aphasia Institute</v>
      </c>
      <c r="AI8" t="s">
        <v>671</v>
      </c>
    </row>
    <row r="9" spans="1:35" x14ac:dyDescent="0.35">
      <c r="A9">
        <f>ROW()-ROW(TPBE[[#Headers],[Index]])</f>
        <v>6</v>
      </c>
      <c r="B9" t="s">
        <v>156</v>
      </c>
      <c r="C9" t="s">
        <v>672</v>
      </c>
      <c r="D9" t="s">
        <v>156</v>
      </c>
      <c r="E9" s="32">
        <f>MATCH(TPBE[[#This Row],[Group]],TPBE_Surplus[Sector],0)</f>
        <v>4</v>
      </c>
      <c r="F9" s="22">
        <f>SUMIFS(Surplus[Forecasted Surplus],Surplus[TPBE],TPBE[[#This Row],[TPBE]])</f>
        <v>0</v>
      </c>
      <c r="G9" s="22" t="b">
        <f>TPBE[[#This Row],[FC Surplus Amount]]&lt;&gt;0</f>
        <v>0</v>
      </c>
      <c r="H9" s="22" t="b">
        <f>SUMIFS(TPBE[FC Surplus Amount],TPBE[Group],TPBE[[#This Row],[Group]])&lt;&gt;0</f>
        <v>0</v>
      </c>
      <c r="I9" s="22" t="str" cm="1">
        <f t="array" ref="I9">IF(TPBE[[#This Row],[Index]]&gt;COUNTIFS(TPBE[Reallocation DD Check],TRUE),"",INDEX(_xlfn._xlws.FILTER(TPBE[TPBE],TPBE[Reallocation DD Check]),TPBE[[#This Row],[Index]]))</f>
        <v/>
      </c>
      <c r="J9" s="22" t="str" cm="1">
        <f t="array" ref="J9">IF(TPBE[[#This Row],[Index]]&gt;COUNTIFS(TPBE[Request DD Check],TRUE),"",INDEX(_xlfn._xlws.FILTER(TPBE[TPBE],TPBE[Request DD Check]),TPBE[[#This Row],[Index]]))</f>
        <v/>
      </c>
      <c r="K9" t="s">
        <v>673</v>
      </c>
      <c r="M9">
        <f>ROW()-ROW(Table4[[#Headers],[Index]])</f>
        <v>6</v>
      </c>
      <c r="N9" t="str" cm="1">
        <f t="array" ref="N9">IF(Table4[[#This Row],[Index]]&lt;=COUNTIFS(Surplus[TPBE],INDEX(Table4[#Headers],SUM(COLUMN()-COLUMN(Table4[[#Headers],[Index]]),1))),T(INDEX(_xlfn._xlws.FILTER(Surplus[Functional Centre],Surplus[TPBE]=INDEX(Table4[#Headers],SUM(COLUMN()-COLUMN(Table4[[#Headers],[Index]]),1))),Table4[[#This Row],[Index]])),"")</f>
        <v/>
      </c>
      <c r="O9" t="str" cm="1">
        <f t="array" ref="O9">IF(Table4[[#This Row],[Index]]&lt;=COUNTIFS(Surplus[TPBE],INDEX(Table4[#Headers],SUM(COLUMN()-COLUMN(Table4[[#Headers],[Index]]),1))),T(INDEX(_xlfn._xlws.FILTER(Surplus[Functional Centre],Surplus[TPBE]=INDEX(Table4[#Headers],SUM(COLUMN()-COLUMN(Table4[[#Headers],[Index]]),1))),Table4[[#This Row],[Index]])),"")</f>
        <v/>
      </c>
      <c r="P9" t="str" cm="1">
        <f t="array" ref="P9">IF(Table4[[#This Row],[Index]]&lt;=COUNTIFS(Surplus[TPBE],INDEX(Table4[#Headers],SUM(COLUMN()-COLUMN(Table4[[#Headers],[Index]]),1))),T(INDEX(_xlfn._xlws.FILTER(Surplus[Functional Centre],Surplus[TPBE]=INDEX(Table4[#Headers],SUM(COLUMN()-COLUMN(Table4[[#Headers],[Index]]),1))),Table4[[#This Row],[Index]])),"")</f>
        <v/>
      </c>
      <c r="Q9" t="str" cm="1">
        <f t="array" ref="Q9">IF(Table4[[#This Row],[Index]]&lt;=COUNTIFS(Surplus[TPBE],INDEX(Table4[#Headers],SUM(COLUMN()-COLUMN(Table4[[#Headers],[Index]]),1))),T(INDEX(_xlfn._xlws.FILTER(Surplus[Functional Centre],Surplus[TPBE]=INDEX(Table4[#Headers],SUM(COLUMN()-COLUMN(Table4[[#Headers],[Index]]),1))),Table4[[#This Row],[Index]])),"")</f>
        <v/>
      </c>
      <c r="R9" t="str" cm="1">
        <f t="array" ref="R9">IF(Table4[[#This Row],[Index]]&lt;=COUNTIFS(Surplus[TPBE],INDEX(Table4[#Headers],SUM(COLUMN()-COLUMN(Table4[[#Headers],[Index]]),1))),T(INDEX(_xlfn._xlws.FILTER(Surplus[Functional Centre],Surplus[TPBE]=INDEX(Table4[#Headers],SUM(COLUMN()-COLUMN(Table4[[#Headers],[Index]]),1))),Table4[[#This Row],[Index]])),"")</f>
        <v/>
      </c>
      <c r="S9" t="str" cm="1">
        <f t="array" ref="S9">IF(Table4[[#This Row],[Index]]&lt;=COUNTIFS(Surplus[TPBE],INDEX(Table4[#Headers],SUM(COLUMN()-COLUMN(Table4[[#Headers],[Index]]),1))),T(INDEX(_xlfn._xlws.FILTER(Surplus[Functional Centre],Surplus[TPBE]=INDEX(Table4[#Headers],SUM(COLUMN()-COLUMN(Table4[[#Headers],[Index]]),1))),Table4[[#This Row],[Index]])),"")</f>
        <v/>
      </c>
      <c r="T9" t="str" cm="1">
        <f t="array" ref="T9">IF(Table4[[#This Row],[Index]]&lt;=COUNTIFS(Surplus[TPBE],INDEX(Table4[#Headers],SUM(COLUMN()-COLUMN(Table4[[#Headers],[Index]]),1))),T(INDEX(_xlfn._xlws.FILTER(Surplus[Functional Centre],Surplus[TPBE]=INDEX(Table4[#Headers],SUM(COLUMN()-COLUMN(Table4[[#Headers],[Index]]),1))),Table4[[#This Row],[Index]])),"")</f>
        <v/>
      </c>
      <c r="U9" t="str" cm="1">
        <f t="array" ref="U9">IF(Table4[[#This Row],[Index]]&lt;=COUNTIFS(Surplus[TPBE],INDEX(Table4[#Headers],SUM(COLUMN()-COLUMN(Table4[[#Headers],[Index]]),1))),T(INDEX(_xlfn._xlws.FILTER(Surplus[Functional Centre],Surplus[TPBE]=INDEX(Table4[#Headers],SUM(COLUMN()-COLUMN(Table4[[#Headers],[Index]]),1))),Table4[[#This Row],[Index]])),"")</f>
        <v/>
      </c>
      <c r="V9" t="str" cm="1">
        <f t="array" ref="V9">IF(Table4[[#This Row],[Index]]&lt;=COUNTIFS(Surplus[TPBE],INDEX(Table4[#Headers],SUM(COLUMN()-COLUMN(Table4[[#Headers],[Index]]),1))),T(INDEX(_xlfn._xlws.FILTER(Surplus[Functional Centre],Surplus[TPBE]=INDEX(Table4[#Headers],SUM(COLUMN()-COLUMN(Table4[[#Headers],[Index]]),1))),Table4[[#This Row],[Index]])),"")</f>
        <v/>
      </c>
      <c r="W9" t="str" cm="1">
        <f t="array" ref="W9">IF(Table4[[#This Row],[Index]]&lt;=COUNTIFS(Surplus[TPBE],INDEX(Table4[#Headers],SUM(COLUMN()-COLUMN(Table4[[#Headers],[Index]]),1))),T(INDEX(_xlfn._xlws.FILTER(Surplus[Functional Centre],Surplus[TPBE]=INDEX(Table4[#Headers],SUM(COLUMN()-COLUMN(Table4[[#Headers],[Index]]),1))),Table4[[#This Row],[Index]])),"")</f>
        <v/>
      </c>
      <c r="X9" t="str" cm="1">
        <f t="array" ref="X9">IF(Table4[[#This Row],[Index]]&lt;=COUNTIFS(Surplus[TPBE],INDEX(Table4[#Headers],SUM(COLUMN()-COLUMN(Table4[[#Headers],[Index]]),1))),T(INDEX(_xlfn._xlws.FILTER(Surplus[Functional Centre],Surplus[TPBE]=INDEX(Table4[#Headers],SUM(COLUMN()-COLUMN(Table4[[#Headers],[Index]]),1))),Table4[[#This Row],[Index]])),"")</f>
        <v/>
      </c>
      <c r="Y9" t="str" cm="1">
        <f t="array" ref="Y9">IF(Table4[[#This Row],[Index]]&lt;=COUNTIFS(Surplus[TPBE],INDEX(Table4[#Headers],SUM(COLUMN()-COLUMN(Table4[[#Headers],[Index]]),1))),T(INDEX(_xlfn._xlws.FILTER(Surplus[Functional Centre],Surplus[TPBE]=INDEX(Table4[#Headers],SUM(COLUMN()-COLUMN(Table4[[#Headers],[Index]]),1))),Table4[[#This Row],[Index]])),"")</f>
        <v/>
      </c>
      <c r="Z9" t="str" cm="1">
        <f t="array" ref="Z9">IF(Table4[[#This Row],[Index]]&lt;=COUNTIFS(Surplus[TPBE],INDEX(Table4[#Headers],SUM(COLUMN()-COLUMN(Table4[[#Headers],[Index]]),1))),T(INDEX(_xlfn._xlws.FILTER(Surplus[Functional Centre],Surplus[TPBE]=INDEX(Table4[#Headers],SUM(COLUMN()-COLUMN(Table4[[#Headers],[Index]]),1))),Table4[[#This Row],[Index]])),"")</f>
        <v/>
      </c>
      <c r="AA9" t="str" cm="1">
        <f t="array" ref="AA9">IF(Table4[[#This Row],[Index]]&lt;=COUNTIFS(Surplus[TPBE],INDEX(Table4[#Headers],SUM(COLUMN()-COLUMN(Table4[[#Headers],[Index]]),1))),T(INDEX(_xlfn._xlws.FILTER(Surplus[Functional Centre],Surplus[TPBE]=INDEX(Table4[#Headers],SUM(COLUMN()-COLUMN(Table4[[#Headers],[Index]]),1))),Table4[[#This Row],[Index]])),"")</f>
        <v/>
      </c>
      <c r="AB9" t="str" cm="1">
        <f t="array" ref="AB9">IF(Table4[[#This Row],[Index]]&lt;=COUNTIFS(Surplus[TPBE],INDEX(Table4[#Headers],SUM(COLUMN()-COLUMN(Table4[[#Headers],[Index]]),1))),T(INDEX(_xlfn._xlws.FILTER(Surplus[Functional Centre],Surplus[TPBE]=INDEX(Table4[#Headers],SUM(COLUMN()-COLUMN(Table4[[#Headers],[Index]]),1))),Table4[[#This Row],[Index]])),"")</f>
        <v/>
      </c>
      <c r="AD9" t="s">
        <v>645</v>
      </c>
      <c r="AE9" s="20">
        <v>4257</v>
      </c>
      <c r="AF9" s="20">
        <v>114430</v>
      </c>
      <c r="AG9" t="s">
        <v>674</v>
      </c>
      <c r="AH9" t="str">
        <f>PROPER(Agencies[[#This Row],[HSP Name]])</f>
        <v>Bernard Betel Centre For Creative Living</v>
      </c>
      <c r="AI9" t="s">
        <v>675</v>
      </c>
    </row>
    <row r="10" spans="1:35" x14ac:dyDescent="0.35">
      <c r="A10">
        <f>ROW()-ROW(TPBE[[#Headers],[Index]])</f>
        <v>7</v>
      </c>
      <c r="B10" t="s">
        <v>63</v>
      </c>
      <c r="C10" t="s">
        <v>10</v>
      </c>
      <c r="D10" t="s">
        <v>63</v>
      </c>
      <c r="E10" s="32">
        <f>MATCH(TPBE[[#This Row],[Group]],TPBE_Surplus[Sector],0)</f>
        <v>5</v>
      </c>
      <c r="F10" s="22">
        <f>SUMIFS(Surplus[Forecasted Surplus],Surplus[TPBE],TPBE[[#This Row],[TPBE]])</f>
        <v>0</v>
      </c>
      <c r="G10" s="22" t="b">
        <f>TPBE[[#This Row],[FC Surplus Amount]]&lt;&gt;0</f>
        <v>0</v>
      </c>
      <c r="H10" s="22" t="b">
        <f>SUMIFS(TPBE[FC Surplus Amount],TPBE[Group],TPBE[[#This Row],[Group]])&lt;&gt;0</f>
        <v>0</v>
      </c>
      <c r="I10" s="22" t="str" cm="1">
        <f t="array" ref="I10">IF(TPBE[[#This Row],[Index]]&gt;COUNTIFS(TPBE[Reallocation DD Check],TRUE),"",INDEX(_xlfn._xlws.FILTER(TPBE[TPBE],TPBE[Reallocation DD Check]),TPBE[[#This Row],[Index]]))</f>
        <v/>
      </c>
      <c r="J10" s="22" t="str" cm="1">
        <f t="array" ref="J10">IF(TPBE[[#This Row],[Index]]&gt;COUNTIFS(TPBE[Request DD Check],TRUE),"",INDEX(_xlfn._xlws.FILTER(TPBE[TPBE],TPBE[Request DD Check]),TPBE[[#This Row],[Index]]))</f>
        <v/>
      </c>
      <c r="K10" t="s">
        <v>676</v>
      </c>
      <c r="M10">
        <f>ROW()-ROW(Table4[[#Headers],[Index]])</f>
        <v>7</v>
      </c>
      <c r="N10" t="str" cm="1">
        <f t="array" ref="N10">IF(Table4[[#This Row],[Index]]&lt;=COUNTIFS(Surplus[TPBE],INDEX(Table4[#Headers],SUM(COLUMN()-COLUMN(Table4[[#Headers],[Index]]),1))),T(INDEX(_xlfn._xlws.FILTER(Surplus[Functional Centre],Surplus[TPBE]=INDEX(Table4[#Headers],SUM(COLUMN()-COLUMN(Table4[[#Headers],[Index]]),1))),Table4[[#This Row],[Index]])),"")</f>
        <v/>
      </c>
      <c r="O10" t="str" cm="1">
        <f t="array" ref="O10">IF(Table4[[#This Row],[Index]]&lt;=COUNTIFS(Surplus[TPBE],INDEX(Table4[#Headers],SUM(COLUMN()-COLUMN(Table4[[#Headers],[Index]]),1))),T(INDEX(_xlfn._xlws.FILTER(Surplus[Functional Centre],Surplus[TPBE]=INDEX(Table4[#Headers],SUM(COLUMN()-COLUMN(Table4[[#Headers],[Index]]),1))),Table4[[#This Row],[Index]])),"")</f>
        <v/>
      </c>
      <c r="P10" t="str" cm="1">
        <f t="array" ref="P10">IF(Table4[[#This Row],[Index]]&lt;=COUNTIFS(Surplus[TPBE],INDEX(Table4[#Headers],SUM(COLUMN()-COLUMN(Table4[[#Headers],[Index]]),1))),T(INDEX(_xlfn._xlws.FILTER(Surplus[Functional Centre],Surplus[TPBE]=INDEX(Table4[#Headers],SUM(COLUMN()-COLUMN(Table4[[#Headers],[Index]]),1))),Table4[[#This Row],[Index]])),"")</f>
        <v/>
      </c>
      <c r="Q10" t="str" cm="1">
        <f t="array" ref="Q10">IF(Table4[[#This Row],[Index]]&lt;=COUNTIFS(Surplus[TPBE],INDEX(Table4[#Headers],SUM(COLUMN()-COLUMN(Table4[[#Headers],[Index]]),1))),T(INDEX(_xlfn._xlws.FILTER(Surplus[Functional Centre],Surplus[TPBE]=INDEX(Table4[#Headers],SUM(COLUMN()-COLUMN(Table4[[#Headers],[Index]]),1))),Table4[[#This Row],[Index]])),"")</f>
        <v/>
      </c>
      <c r="R10" t="str" cm="1">
        <f t="array" ref="R10">IF(Table4[[#This Row],[Index]]&lt;=COUNTIFS(Surplus[TPBE],INDEX(Table4[#Headers],SUM(COLUMN()-COLUMN(Table4[[#Headers],[Index]]),1))),T(INDEX(_xlfn._xlws.FILTER(Surplus[Functional Centre],Surplus[TPBE]=INDEX(Table4[#Headers],SUM(COLUMN()-COLUMN(Table4[[#Headers],[Index]]),1))),Table4[[#This Row],[Index]])),"")</f>
        <v/>
      </c>
      <c r="S10" t="str" cm="1">
        <f t="array" ref="S10">IF(Table4[[#This Row],[Index]]&lt;=COUNTIFS(Surplus[TPBE],INDEX(Table4[#Headers],SUM(COLUMN()-COLUMN(Table4[[#Headers],[Index]]),1))),T(INDEX(_xlfn._xlws.FILTER(Surplus[Functional Centre],Surplus[TPBE]=INDEX(Table4[#Headers],SUM(COLUMN()-COLUMN(Table4[[#Headers],[Index]]),1))),Table4[[#This Row],[Index]])),"")</f>
        <v/>
      </c>
      <c r="T10" t="str" cm="1">
        <f t="array" ref="T10">IF(Table4[[#This Row],[Index]]&lt;=COUNTIFS(Surplus[TPBE],INDEX(Table4[#Headers],SUM(COLUMN()-COLUMN(Table4[[#Headers],[Index]]),1))),T(INDEX(_xlfn._xlws.FILTER(Surplus[Functional Centre],Surplus[TPBE]=INDEX(Table4[#Headers],SUM(COLUMN()-COLUMN(Table4[[#Headers],[Index]]),1))),Table4[[#This Row],[Index]])),"")</f>
        <v/>
      </c>
      <c r="U10" t="str" cm="1">
        <f t="array" ref="U10">IF(Table4[[#This Row],[Index]]&lt;=COUNTIFS(Surplus[TPBE],INDEX(Table4[#Headers],SUM(COLUMN()-COLUMN(Table4[[#Headers],[Index]]),1))),T(INDEX(_xlfn._xlws.FILTER(Surplus[Functional Centre],Surplus[TPBE]=INDEX(Table4[#Headers],SUM(COLUMN()-COLUMN(Table4[[#Headers],[Index]]),1))),Table4[[#This Row],[Index]])),"")</f>
        <v/>
      </c>
      <c r="V10" t="str" cm="1">
        <f t="array" ref="V10">IF(Table4[[#This Row],[Index]]&lt;=COUNTIFS(Surplus[TPBE],INDEX(Table4[#Headers],SUM(COLUMN()-COLUMN(Table4[[#Headers],[Index]]),1))),T(INDEX(_xlfn._xlws.FILTER(Surplus[Functional Centre],Surplus[TPBE]=INDEX(Table4[#Headers],SUM(COLUMN()-COLUMN(Table4[[#Headers],[Index]]),1))),Table4[[#This Row],[Index]])),"")</f>
        <v/>
      </c>
      <c r="W10" t="str" cm="1">
        <f t="array" ref="W10">IF(Table4[[#This Row],[Index]]&lt;=COUNTIFS(Surplus[TPBE],INDEX(Table4[#Headers],SUM(COLUMN()-COLUMN(Table4[[#Headers],[Index]]),1))),T(INDEX(_xlfn._xlws.FILTER(Surplus[Functional Centre],Surplus[TPBE]=INDEX(Table4[#Headers],SUM(COLUMN()-COLUMN(Table4[[#Headers],[Index]]),1))),Table4[[#This Row],[Index]])),"")</f>
        <v/>
      </c>
      <c r="X10" t="str" cm="1">
        <f t="array" ref="X10">IF(Table4[[#This Row],[Index]]&lt;=COUNTIFS(Surplus[TPBE],INDEX(Table4[#Headers],SUM(COLUMN()-COLUMN(Table4[[#Headers],[Index]]),1))),T(INDEX(_xlfn._xlws.FILTER(Surplus[Functional Centre],Surplus[TPBE]=INDEX(Table4[#Headers],SUM(COLUMN()-COLUMN(Table4[[#Headers],[Index]]),1))),Table4[[#This Row],[Index]])),"")</f>
        <v/>
      </c>
      <c r="Y10" t="str" cm="1">
        <f t="array" ref="Y10">IF(Table4[[#This Row],[Index]]&lt;=COUNTIFS(Surplus[TPBE],INDEX(Table4[#Headers],SUM(COLUMN()-COLUMN(Table4[[#Headers],[Index]]),1))),T(INDEX(_xlfn._xlws.FILTER(Surplus[Functional Centre],Surplus[TPBE]=INDEX(Table4[#Headers],SUM(COLUMN()-COLUMN(Table4[[#Headers],[Index]]),1))),Table4[[#This Row],[Index]])),"")</f>
        <v/>
      </c>
      <c r="Z10" t="str" cm="1">
        <f t="array" ref="Z10">IF(Table4[[#This Row],[Index]]&lt;=COUNTIFS(Surplus[TPBE],INDEX(Table4[#Headers],SUM(COLUMN()-COLUMN(Table4[[#Headers],[Index]]),1))),T(INDEX(_xlfn._xlws.FILTER(Surplus[Functional Centre],Surplus[TPBE]=INDEX(Table4[#Headers],SUM(COLUMN()-COLUMN(Table4[[#Headers],[Index]]),1))),Table4[[#This Row],[Index]])),"")</f>
        <v/>
      </c>
      <c r="AA10" t="str" cm="1">
        <f t="array" ref="AA10">IF(Table4[[#This Row],[Index]]&lt;=COUNTIFS(Surplus[TPBE],INDEX(Table4[#Headers],SUM(COLUMN()-COLUMN(Table4[[#Headers],[Index]]),1))),T(INDEX(_xlfn._xlws.FILTER(Surplus[Functional Centre],Surplus[TPBE]=INDEX(Table4[#Headers],SUM(COLUMN()-COLUMN(Table4[[#Headers],[Index]]),1))),Table4[[#This Row],[Index]])),"")</f>
        <v/>
      </c>
      <c r="AB10" t="str" cm="1">
        <f t="array" ref="AB10">IF(Table4[[#This Row],[Index]]&lt;=COUNTIFS(Surplus[TPBE],INDEX(Table4[#Headers],SUM(COLUMN()-COLUMN(Table4[[#Headers],[Index]]),1))),T(INDEX(_xlfn._xlws.FILTER(Surplus[Functional Centre],Surplus[TPBE]=INDEX(Table4[#Headers],SUM(COLUMN()-COLUMN(Table4[[#Headers],[Index]]),1))),Table4[[#This Row],[Index]])),"")</f>
        <v/>
      </c>
      <c r="AD10" t="s">
        <v>645</v>
      </c>
      <c r="AE10" s="20" t="s">
        <v>677</v>
      </c>
      <c r="AF10" s="20" t="s">
        <v>678</v>
      </c>
      <c r="AG10" t="s">
        <v>679</v>
      </c>
      <c r="AH10" t="str">
        <f>PROPER(Agencies[[#This Row],[HSP Name]])</f>
        <v>Better Living Health And Community Services</v>
      </c>
      <c r="AI10" t="s">
        <v>680</v>
      </c>
    </row>
    <row r="11" spans="1:35" x14ac:dyDescent="0.35">
      <c r="A11">
        <f>ROW()-ROW(TPBE[[#Headers],[Index]])</f>
        <v>8</v>
      </c>
      <c r="B11" t="s">
        <v>90</v>
      </c>
      <c r="C11" t="s">
        <v>12</v>
      </c>
      <c r="D11" t="s">
        <v>154</v>
      </c>
      <c r="E11" s="32">
        <f>MATCH(TPBE[[#This Row],[Group]],TPBE_Surplus[Sector],0)</f>
        <v>2</v>
      </c>
      <c r="F11" s="22">
        <f>SUMIFS(Surplus[Forecasted Surplus],Surplus[TPBE],TPBE[[#This Row],[TPBE]])</f>
        <v>0</v>
      </c>
      <c r="G11" s="22" t="b">
        <f>TPBE[[#This Row],[FC Surplus Amount]]&lt;&gt;0</f>
        <v>0</v>
      </c>
      <c r="H11" s="22" t="b">
        <f>SUMIFS(TPBE[FC Surplus Amount],TPBE[Group],TPBE[[#This Row],[Group]])&lt;&gt;0</f>
        <v>0</v>
      </c>
      <c r="I11" s="22" t="str" cm="1">
        <f t="array" ref="I11">IF(TPBE[[#This Row],[Index]]&gt;COUNTIFS(TPBE[Reallocation DD Check],TRUE),"",INDEX(_xlfn._xlws.FILTER(TPBE[TPBE],TPBE[Reallocation DD Check]),TPBE[[#This Row],[Index]]))</f>
        <v/>
      </c>
      <c r="J11" s="22" t="str" cm="1">
        <f t="array" ref="J11">IF(TPBE[[#This Row],[Index]]&gt;COUNTIFS(TPBE[Request DD Check],TRUE),"",INDEX(_xlfn._xlws.FILTER(TPBE[TPBE],TPBE[Request DD Check]),TPBE[[#This Row],[Index]]))</f>
        <v/>
      </c>
      <c r="K11" t="s">
        <v>681</v>
      </c>
      <c r="M11">
        <f>ROW()-ROW(Table4[[#Headers],[Index]])</f>
        <v>8</v>
      </c>
      <c r="N11" t="str" cm="1">
        <f t="array" ref="N11">IF(Table4[[#This Row],[Index]]&lt;=COUNTIFS(Surplus[TPBE],INDEX(Table4[#Headers],SUM(COLUMN()-COLUMN(Table4[[#Headers],[Index]]),1))),T(INDEX(_xlfn._xlws.FILTER(Surplus[Functional Centre],Surplus[TPBE]=INDEX(Table4[#Headers],SUM(COLUMN()-COLUMN(Table4[[#Headers],[Index]]),1))),Table4[[#This Row],[Index]])),"")</f>
        <v/>
      </c>
      <c r="O11" t="str" cm="1">
        <f t="array" ref="O11">IF(Table4[[#This Row],[Index]]&lt;=COUNTIFS(Surplus[TPBE],INDEX(Table4[#Headers],SUM(COLUMN()-COLUMN(Table4[[#Headers],[Index]]),1))),T(INDEX(_xlfn._xlws.FILTER(Surplus[Functional Centre],Surplus[TPBE]=INDEX(Table4[#Headers],SUM(COLUMN()-COLUMN(Table4[[#Headers],[Index]]),1))),Table4[[#This Row],[Index]])),"")</f>
        <v/>
      </c>
      <c r="P11" t="str" cm="1">
        <f t="array" ref="P11">IF(Table4[[#This Row],[Index]]&lt;=COUNTIFS(Surplus[TPBE],INDEX(Table4[#Headers],SUM(COLUMN()-COLUMN(Table4[[#Headers],[Index]]),1))),T(INDEX(_xlfn._xlws.FILTER(Surplus[Functional Centre],Surplus[TPBE]=INDEX(Table4[#Headers],SUM(COLUMN()-COLUMN(Table4[[#Headers],[Index]]),1))),Table4[[#This Row],[Index]])),"")</f>
        <v/>
      </c>
      <c r="Q11" t="str" cm="1">
        <f t="array" ref="Q11">IF(Table4[[#This Row],[Index]]&lt;=COUNTIFS(Surplus[TPBE],INDEX(Table4[#Headers],SUM(COLUMN()-COLUMN(Table4[[#Headers],[Index]]),1))),T(INDEX(_xlfn._xlws.FILTER(Surplus[Functional Centre],Surplus[TPBE]=INDEX(Table4[#Headers],SUM(COLUMN()-COLUMN(Table4[[#Headers],[Index]]),1))),Table4[[#This Row],[Index]])),"")</f>
        <v/>
      </c>
      <c r="R11" t="str" cm="1">
        <f t="array" ref="R11">IF(Table4[[#This Row],[Index]]&lt;=COUNTIFS(Surplus[TPBE],INDEX(Table4[#Headers],SUM(COLUMN()-COLUMN(Table4[[#Headers],[Index]]),1))),T(INDEX(_xlfn._xlws.FILTER(Surplus[Functional Centre],Surplus[TPBE]=INDEX(Table4[#Headers],SUM(COLUMN()-COLUMN(Table4[[#Headers],[Index]]),1))),Table4[[#This Row],[Index]])),"")</f>
        <v/>
      </c>
      <c r="S11" t="str" cm="1">
        <f t="array" ref="S11">IF(Table4[[#This Row],[Index]]&lt;=COUNTIFS(Surplus[TPBE],INDEX(Table4[#Headers],SUM(COLUMN()-COLUMN(Table4[[#Headers],[Index]]),1))),T(INDEX(_xlfn._xlws.FILTER(Surplus[Functional Centre],Surplus[TPBE]=INDEX(Table4[#Headers],SUM(COLUMN()-COLUMN(Table4[[#Headers],[Index]]),1))),Table4[[#This Row],[Index]])),"")</f>
        <v/>
      </c>
      <c r="T11" t="str" cm="1">
        <f t="array" ref="T11">IF(Table4[[#This Row],[Index]]&lt;=COUNTIFS(Surplus[TPBE],INDEX(Table4[#Headers],SUM(COLUMN()-COLUMN(Table4[[#Headers],[Index]]),1))),T(INDEX(_xlfn._xlws.FILTER(Surplus[Functional Centre],Surplus[TPBE]=INDEX(Table4[#Headers],SUM(COLUMN()-COLUMN(Table4[[#Headers],[Index]]),1))),Table4[[#This Row],[Index]])),"")</f>
        <v/>
      </c>
      <c r="U11" t="str" cm="1">
        <f t="array" ref="U11">IF(Table4[[#This Row],[Index]]&lt;=COUNTIFS(Surplus[TPBE],INDEX(Table4[#Headers],SUM(COLUMN()-COLUMN(Table4[[#Headers],[Index]]),1))),T(INDEX(_xlfn._xlws.FILTER(Surplus[Functional Centre],Surplus[TPBE]=INDEX(Table4[#Headers],SUM(COLUMN()-COLUMN(Table4[[#Headers],[Index]]),1))),Table4[[#This Row],[Index]])),"")</f>
        <v/>
      </c>
      <c r="V11" t="str" cm="1">
        <f t="array" ref="V11">IF(Table4[[#This Row],[Index]]&lt;=COUNTIFS(Surplus[TPBE],INDEX(Table4[#Headers],SUM(COLUMN()-COLUMN(Table4[[#Headers],[Index]]),1))),T(INDEX(_xlfn._xlws.FILTER(Surplus[Functional Centre],Surplus[TPBE]=INDEX(Table4[#Headers],SUM(COLUMN()-COLUMN(Table4[[#Headers],[Index]]),1))),Table4[[#This Row],[Index]])),"")</f>
        <v/>
      </c>
      <c r="W11" t="str" cm="1">
        <f t="array" ref="W11">IF(Table4[[#This Row],[Index]]&lt;=COUNTIFS(Surplus[TPBE],INDEX(Table4[#Headers],SUM(COLUMN()-COLUMN(Table4[[#Headers],[Index]]),1))),T(INDEX(_xlfn._xlws.FILTER(Surplus[Functional Centre],Surplus[TPBE]=INDEX(Table4[#Headers],SUM(COLUMN()-COLUMN(Table4[[#Headers],[Index]]),1))),Table4[[#This Row],[Index]])),"")</f>
        <v/>
      </c>
      <c r="X11" t="str" cm="1">
        <f t="array" ref="X11">IF(Table4[[#This Row],[Index]]&lt;=COUNTIFS(Surplus[TPBE],INDEX(Table4[#Headers],SUM(COLUMN()-COLUMN(Table4[[#Headers],[Index]]),1))),T(INDEX(_xlfn._xlws.FILTER(Surplus[Functional Centre],Surplus[TPBE]=INDEX(Table4[#Headers],SUM(COLUMN()-COLUMN(Table4[[#Headers],[Index]]),1))),Table4[[#This Row],[Index]])),"")</f>
        <v/>
      </c>
      <c r="Y11" t="str" cm="1">
        <f t="array" ref="Y11">IF(Table4[[#This Row],[Index]]&lt;=COUNTIFS(Surplus[TPBE],INDEX(Table4[#Headers],SUM(COLUMN()-COLUMN(Table4[[#Headers],[Index]]),1))),T(INDEX(_xlfn._xlws.FILTER(Surplus[Functional Centre],Surplus[TPBE]=INDEX(Table4[#Headers],SUM(COLUMN()-COLUMN(Table4[[#Headers],[Index]]),1))),Table4[[#This Row],[Index]])),"")</f>
        <v/>
      </c>
      <c r="Z11" t="str" cm="1">
        <f t="array" ref="Z11">IF(Table4[[#This Row],[Index]]&lt;=COUNTIFS(Surplus[TPBE],INDEX(Table4[#Headers],SUM(COLUMN()-COLUMN(Table4[[#Headers],[Index]]),1))),T(INDEX(_xlfn._xlws.FILTER(Surplus[Functional Centre],Surplus[TPBE]=INDEX(Table4[#Headers],SUM(COLUMN()-COLUMN(Table4[[#Headers],[Index]]),1))),Table4[[#This Row],[Index]])),"")</f>
        <v/>
      </c>
      <c r="AA11" t="str" cm="1">
        <f t="array" ref="AA11">IF(Table4[[#This Row],[Index]]&lt;=COUNTIFS(Surplus[TPBE],INDEX(Table4[#Headers],SUM(COLUMN()-COLUMN(Table4[[#Headers],[Index]]),1))),T(INDEX(_xlfn._xlws.FILTER(Surplus[Functional Centre],Surplus[TPBE]=INDEX(Table4[#Headers],SUM(COLUMN()-COLUMN(Table4[[#Headers],[Index]]),1))),Table4[[#This Row],[Index]])),"")</f>
        <v/>
      </c>
      <c r="AB11" t="str" cm="1">
        <f t="array" ref="AB11">IF(Table4[[#This Row],[Index]]&lt;=COUNTIFS(Surplus[TPBE],INDEX(Table4[#Headers],SUM(COLUMN()-COLUMN(Table4[[#Headers],[Index]]),1))),T(INDEX(_xlfn._xlws.FILTER(Surplus[Functional Centre],Surplus[TPBE]=INDEX(Table4[#Headers],SUM(COLUMN()-COLUMN(Table4[[#Headers],[Index]]),1))),Table4[[#This Row],[Index]])),"")</f>
        <v/>
      </c>
      <c r="AD11" t="s">
        <v>645</v>
      </c>
      <c r="AE11" s="20" t="s">
        <v>682</v>
      </c>
      <c r="AF11" s="20" t="s">
        <v>683</v>
      </c>
      <c r="AG11" t="s">
        <v>684</v>
      </c>
      <c r="AH11" t="str">
        <f>PROPER(Agencies[[#This Row],[HSP Name]])</f>
        <v>Black Creek Community Health</v>
      </c>
      <c r="AI11" t="s">
        <v>685</v>
      </c>
    </row>
    <row r="12" spans="1:35" x14ac:dyDescent="0.35">
      <c r="A12">
        <f>ROW()-ROW(TPBE[[#Headers],[Index]])</f>
        <v>9</v>
      </c>
      <c r="B12" t="s">
        <v>157</v>
      </c>
      <c r="C12" t="s">
        <v>34</v>
      </c>
      <c r="D12" t="s">
        <v>157</v>
      </c>
      <c r="E12" s="32">
        <f>MATCH(TPBE[[#This Row],[Group]],TPBE_Surplus[Sector],0)</f>
        <v>6</v>
      </c>
      <c r="F12" s="22">
        <f>SUMIFS(Surplus[Forecasted Surplus],Surplus[TPBE],TPBE[[#This Row],[TPBE]])</f>
        <v>0</v>
      </c>
      <c r="G12" s="22" t="b">
        <f>TPBE[[#This Row],[FC Surplus Amount]]&lt;&gt;0</f>
        <v>0</v>
      </c>
      <c r="H12" s="22" t="b">
        <f>SUMIFS(TPBE[FC Surplus Amount],TPBE[Group],TPBE[[#This Row],[Group]])&lt;&gt;0</f>
        <v>0</v>
      </c>
      <c r="I12" s="22" t="str" cm="1">
        <f t="array" ref="I12">IF(TPBE[[#This Row],[Index]]&gt;COUNTIFS(TPBE[Reallocation DD Check],TRUE),"",INDEX(_xlfn._xlws.FILTER(TPBE[TPBE],TPBE[Reallocation DD Check]),TPBE[[#This Row],[Index]]))</f>
        <v/>
      </c>
      <c r="J12" s="22" t="str" cm="1">
        <f t="array" ref="J12">IF(TPBE[[#This Row],[Index]]&gt;COUNTIFS(TPBE[Request DD Check],TRUE),"",INDEX(_xlfn._xlws.FILTER(TPBE[TPBE],TPBE[Request DD Check]),TPBE[[#This Row],[Index]]))</f>
        <v/>
      </c>
      <c r="K12" t="s">
        <v>686</v>
      </c>
      <c r="M12">
        <f>ROW()-ROW(Table4[[#Headers],[Index]])</f>
        <v>9</v>
      </c>
      <c r="N12" t="str" cm="1">
        <f t="array" ref="N12">IF(Table4[[#This Row],[Index]]&lt;=COUNTIFS(Surplus[TPBE],INDEX(Table4[#Headers],SUM(COLUMN()-COLUMN(Table4[[#Headers],[Index]]),1))),T(INDEX(_xlfn._xlws.FILTER(Surplus[Functional Centre],Surplus[TPBE]=INDEX(Table4[#Headers],SUM(COLUMN()-COLUMN(Table4[[#Headers],[Index]]),1))),Table4[[#This Row],[Index]])),"")</f>
        <v/>
      </c>
      <c r="O12" t="str" cm="1">
        <f t="array" ref="O12">IF(Table4[[#This Row],[Index]]&lt;=COUNTIFS(Surplus[TPBE],INDEX(Table4[#Headers],SUM(COLUMN()-COLUMN(Table4[[#Headers],[Index]]),1))),T(INDEX(_xlfn._xlws.FILTER(Surplus[Functional Centre],Surplus[TPBE]=INDEX(Table4[#Headers],SUM(COLUMN()-COLUMN(Table4[[#Headers],[Index]]),1))),Table4[[#This Row],[Index]])),"")</f>
        <v/>
      </c>
      <c r="P12" t="str" cm="1">
        <f t="array" ref="P12">IF(Table4[[#This Row],[Index]]&lt;=COUNTIFS(Surplus[TPBE],INDEX(Table4[#Headers],SUM(COLUMN()-COLUMN(Table4[[#Headers],[Index]]),1))),T(INDEX(_xlfn._xlws.FILTER(Surplus[Functional Centre],Surplus[TPBE]=INDEX(Table4[#Headers],SUM(COLUMN()-COLUMN(Table4[[#Headers],[Index]]),1))),Table4[[#This Row],[Index]])),"")</f>
        <v/>
      </c>
      <c r="Q12" t="str" cm="1">
        <f t="array" ref="Q12">IF(Table4[[#This Row],[Index]]&lt;=COUNTIFS(Surplus[TPBE],INDEX(Table4[#Headers],SUM(COLUMN()-COLUMN(Table4[[#Headers],[Index]]),1))),T(INDEX(_xlfn._xlws.FILTER(Surplus[Functional Centre],Surplus[TPBE]=INDEX(Table4[#Headers],SUM(COLUMN()-COLUMN(Table4[[#Headers],[Index]]),1))),Table4[[#This Row],[Index]])),"")</f>
        <v/>
      </c>
      <c r="R12" t="str" cm="1">
        <f t="array" ref="R12">IF(Table4[[#This Row],[Index]]&lt;=COUNTIFS(Surplus[TPBE],INDEX(Table4[#Headers],SUM(COLUMN()-COLUMN(Table4[[#Headers],[Index]]),1))),T(INDEX(_xlfn._xlws.FILTER(Surplus[Functional Centre],Surplus[TPBE]=INDEX(Table4[#Headers],SUM(COLUMN()-COLUMN(Table4[[#Headers],[Index]]),1))),Table4[[#This Row],[Index]])),"")</f>
        <v/>
      </c>
      <c r="S12" t="str" cm="1">
        <f t="array" ref="S12">IF(Table4[[#This Row],[Index]]&lt;=COUNTIFS(Surplus[TPBE],INDEX(Table4[#Headers],SUM(COLUMN()-COLUMN(Table4[[#Headers],[Index]]),1))),T(INDEX(_xlfn._xlws.FILTER(Surplus[Functional Centre],Surplus[TPBE]=INDEX(Table4[#Headers],SUM(COLUMN()-COLUMN(Table4[[#Headers],[Index]]),1))),Table4[[#This Row],[Index]])),"")</f>
        <v/>
      </c>
      <c r="T12" t="str" cm="1">
        <f t="array" ref="T12">IF(Table4[[#This Row],[Index]]&lt;=COUNTIFS(Surplus[TPBE],INDEX(Table4[#Headers],SUM(COLUMN()-COLUMN(Table4[[#Headers],[Index]]),1))),T(INDEX(_xlfn._xlws.FILTER(Surplus[Functional Centre],Surplus[TPBE]=INDEX(Table4[#Headers],SUM(COLUMN()-COLUMN(Table4[[#Headers],[Index]]),1))),Table4[[#This Row],[Index]])),"")</f>
        <v/>
      </c>
      <c r="U12" t="str" cm="1">
        <f t="array" ref="U12">IF(Table4[[#This Row],[Index]]&lt;=COUNTIFS(Surplus[TPBE],INDEX(Table4[#Headers],SUM(COLUMN()-COLUMN(Table4[[#Headers],[Index]]),1))),T(INDEX(_xlfn._xlws.FILTER(Surplus[Functional Centre],Surplus[TPBE]=INDEX(Table4[#Headers],SUM(COLUMN()-COLUMN(Table4[[#Headers],[Index]]),1))),Table4[[#This Row],[Index]])),"")</f>
        <v/>
      </c>
      <c r="V12" t="str" cm="1">
        <f t="array" ref="V12">IF(Table4[[#This Row],[Index]]&lt;=COUNTIFS(Surplus[TPBE],INDEX(Table4[#Headers],SUM(COLUMN()-COLUMN(Table4[[#Headers],[Index]]),1))),T(INDEX(_xlfn._xlws.FILTER(Surplus[Functional Centre],Surplus[TPBE]=INDEX(Table4[#Headers],SUM(COLUMN()-COLUMN(Table4[[#Headers],[Index]]),1))),Table4[[#This Row],[Index]])),"")</f>
        <v/>
      </c>
      <c r="W12" t="str" cm="1">
        <f t="array" ref="W12">IF(Table4[[#This Row],[Index]]&lt;=COUNTIFS(Surplus[TPBE],INDEX(Table4[#Headers],SUM(COLUMN()-COLUMN(Table4[[#Headers],[Index]]),1))),T(INDEX(_xlfn._xlws.FILTER(Surplus[Functional Centre],Surplus[TPBE]=INDEX(Table4[#Headers],SUM(COLUMN()-COLUMN(Table4[[#Headers],[Index]]),1))),Table4[[#This Row],[Index]])),"")</f>
        <v/>
      </c>
      <c r="X12" t="str" cm="1">
        <f t="array" ref="X12">IF(Table4[[#This Row],[Index]]&lt;=COUNTIFS(Surplus[TPBE],INDEX(Table4[#Headers],SUM(COLUMN()-COLUMN(Table4[[#Headers],[Index]]),1))),T(INDEX(_xlfn._xlws.FILTER(Surplus[Functional Centre],Surplus[TPBE]=INDEX(Table4[#Headers],SUM(COLUMN()-COLUMN(Table4[[#Headers],[Index]]),1))),Table4[[#This Row],[Index]])),"")</f>
        <v/>
      </c>
      <c r="Y12" t="str" cm="1">
        <f t="array" ref="Y12">IF(Table4[[#This Row],[Index]]&lt;=COUNTIFS(Surplus[TPBE],INDEX(Table4[#Headers],SUM(COLUMN()-COLUMN(Table4[[#Headers],[Index]]),1))),T(INDEX(_xlfn._xlws.FILTER(Surplus[Functional Centre],Surplus[TPBE]=INDEX(Table4[#Headers],SUM(COLUMN()-COLUMN(Table4[[#Headers],[Index]]),1))),Table4[[#This Row],[Index]])),"")</f>
        <v/>
      </c>
      <c r="Z12" t="str" cm="1">
        <f t="array" ref="Z12">IF(Table4[[#This Row],[Index]]&lt;=COUNTIFS(Surplus[TPBE],INDEX(Table4[#Headers],SUM(COLUMN()-COLUMN(Table4[[#Headers],[Index]]),1))),T(INDEX(_xlfn._xlws.FILTER(Surplus[Functional Centre],Surplus[TPBE]=INDEX(Table4[#Headers],SUM(COLUMN()-COLUMN(Table4[[#Headers],[Index]]),1))),Table4[[#This Row],[Index]])),"")</f>
        <v/>
      </c>
      <c r="AA12" t="str" cm="1">
        <f t="array" ref="AA12">IF(Table4[[#This Row],[Index]]&lt;=COUNTIFS(Surplus[TPBE],INDEX(Table4[#Headers],SUM(COLUMN()-COLUMN(Table4[[#Headers],[Index]]),1))),T(INDEX(_xlfn._xlws.FILTER(Surplus[Functional Centre],Surplus[TPBE]=INDEX(Table4[#Headers],SUM(COLUMN()-COLUMN(Table4[[#Headers],[Index]]),1))),Table4[[#This Row],[Index]])),"")</f>
        <v/>
      </c>
      <c r="AB12" t="str" cm="1">
        <f t="array" ref="AB12">IF(Table4[[#This Row],[Index]]&lt;=COUNTIFS(Surplus[TPBE],INDEX(Table4[#Headers],SUM(COLUMN()-COLUMN(Table4[[#Headers],[Index]]),1))),T(INDEX(_xlfn._xlws.FILTER(Surplus[Functional Centre],Surplus[TPBE]=INDEX(Table4[#Headers],SUM(COLUMN()-COLUMN(Table4[[#Headers],[Index]]),1))),Table4[[#This Row],[Index]])),"")</f>
        <v/>
      </c>
      <c r="AD12" t="s">
        <v>645</v>
      </c>
      <c r="AE12" s="20" t="s">
        <v>687</v>
      </c>
      <c r="AF12" s="20" t="s">
        <v>688</v>
      </c>
      <c r="AG12" t="s">
        <v>689</v>
      </c>
      <c r="AH12" t="str">
        <f>PROPER(Agencies[[#This Row],[HSP Name]])</f>
        <v>Canadian Hearing Services Services Canadiens De L'Ouie</v>
      </c>
      <c r="AI12" t="s">
        <v>690</v>
      </c>
    </row>
    <row r="13" spans="1:35" x14ac:dyDescent="0.35">
      <c r="A13">
        <f>ROW()-ROW(TPBE[[#Headers],[Index]])</f>
        <v>10</v>
      </c>
      <c r="B13" t="s">
        <v>636</v>
      </c>
      <c r="C13" t="s">
        <v>16</v>
      </c>
      <c r="D13" t="s">
        <v>154</v>
      </c>
      <c r="E13" s="32">
        <f>MATCH(TPBE[[#This Row],[Group]],TPBE_Surplus[Sector],0)</f>
        <v>2</v>
      </c>
      <c r="F13" s="22">
        <f>SUMIFS(Surplus[Forecasted Surplus],Surplus[TPBE],TPBE[[#This Row],[TPBE]])</f>
        <v>0</v>
      </c>
      <c r="G13" s="22" t="b">
        <f>TPBE[[#This Row],[FC Surplus Amount]]&lt;&gt;0</f>
        <v>0</v>
      </c>
      <c r="H13" s="22" t="b">
        <f>SUMIFS(TPBE[FC Surplus Amount],TPBE[Group],TPBE[[#This Row],[Group]])&lt;&gt;0</f>
        <v>0</v>
      </c>
      <c r="I13" s="22" t="str" cm="1">
        <f t="array" ref="I13">IF(TPBE[[#This Row],[Index]]&gt;COUNTIFS(TPBE[Reallocation DD Check],TRUE),"",INDEX(_xlfn._xlws.FILTER(TPBE[TPBE],TPBE[Reallocation DD Check]),TPBE[[#This Row],[Index]]))</f>
        <v/>
      </c>
      <c r="J13" s="22" t="str" cm="1">
        <f t="array" ref="J13">IF(TPBE[[#This Row],[Index]]&gt;COUNTIFS(TPBE[Request DD Check],TRUE),"",INDEX(_xlfn._xlws.FILTER(TPBE[TPBE],TPBE[Request DD Check]),TPBE[[#This Row],[Index]]))</f>
        <v/>
      </c>
      <c r="K13" t="s">
        <v>691</v>
      </c>
      <c r="M13">
        <f>ROW()-ROW(Table4[[#Headers],[Index]])</f>
        <v>10</v>
      </c>
      <c r="N13" t="str" cm="1">
        <f t="array" ref="N13">IF(Table4[[#This Row],[Index]]&lt;=COUNTIFS(Surplus[TPBE],INDEX(Table4[#Headers],SUM(COLUMN()-COLUMN(Table4[[#Headers],[Index]]),1))),T(INDEX(_xlfn._xlws.FILTER(Surplus[Functional Centre],Surplus[TPBE]=INDEX(Table4[#Headers],SUM(COLUMN()-COLUMN(Table4[[#Headers],[Index]]),1))),Table4[[#This Row],[Index]])),"")</f>
        <v/>
      </c>
      <c r="O13" t="str" cm="1">
        <f t="array" ref="O13">IF(Table4[[#This Row],[Index]]&lt;=COUNTIFS(Surplus[TPBE],INDEX(Table4[#Headers],SUM(COLUMN()-COLUMN(Table4[[#Headers],[Index]]),1))),T(INDEX(_xlfn._xlws.FILTER(Surplus[Functional Centre],Surplus[TPBE]=INDEX(Table4[#Headers],SUM(COLUMN()-COLUMN(Table4[[#Headers],[Index]]),1))),Table4[[#This Row],[Index]])),"")</f>
        <v/>
      </c>
      <c r="P13" t="str" cm="1">
        <f t="array" ref="P13">IF(Table4[[#This Row],[Index]]&lt;=COUNTIFS(Surplus[TPBE],INDEX(Table4[#Headers],SUM(COLUMN()-COLUMN(Table4[[#Headers],[Index]]),1))),T(INDEX(_xlfn._xlws.FILTER(Surplus[Functional Centre],Surplus[TPBE]=INDEX(Table4[#Headers],SUM(COLUMN()-COLUMN(Table4[[#Headers],[Index]]),1))),Table4[[#This Row],[Index]])),"")</f>
        <v/>
      </c>
      <c r="Q13" t="str" cm="1">
        <f t="array" ref="Q13">IF(Table4[[#This Row],[Index]]&lt;=COUNTIFS(Surplus[TPBE],INDEX(Table4[#Headers],SUM(COLUMN()-COLUMN(Table4[[#Headers],[Index]]),1))),T(INDEX(_xlfn._xlws.FILTER(Surplus[Functional Centre],Surplus[TPBE]=INDEX(Table4[#Headers],SUM(COLUMN()-COLUMN(Table4[[#Headers],[Index]]),1))),Table4[[#This Row],[Index]])),"")</f>
        <v/>
      </c>
      <c r="R13" t="str" cm="1">
        <f t="array" ref="R13">IF(Table4[[#This Row],[Index]]&lt;=COUNTIFS(Surplus[TPBE],INDEX(Table4[#Headers],SUM(COLUMN()-COLUMN(Table4[[#Headers],[Index]]),1))),T(INDEX(_xlfn._xlws.FILTER(Surplus[Functional Centre],Surplus[TPBE]=INDEX(Table4[#Headers],SUM(COLUMN()-COLUMN(Table4[[#Headers],[Index]]),1))),Table4[[#This Row],[Index]])),"")</f>
        <v/>
      </c>
      <c r="S13" t="str" cm="1">
        <f t="array" ref="S13">IF(Table4[[#This Row],[Index]]&lt;=COUNTIFS(Surplus[TPBE],INDEX(Table4[#Headers],SUM(COLUMN()-COLUMN(Table4[[#Headers],[Index]]),1))),T(INDEX(_xlfn._xlws.FILTER(Surplus[Functional Centre],Surplus[TPBE]=INDEX(Table4[#Headers],SUM(COLUMN()-COLUMN(Table4[[#Headers],[Index]]),1))),Table4[[#This Row],[Index]])),"")</f>
        <v/>
      </c>
      <c r="T13" t="str" cm="1">
        <f t="array" ref="T13">IF(Table4[[#This Row],[Index]]&lt;=COUNTIFS(Surplus[TPBE],INDEX(Table4[#Headers],SUM(COLUMN()-COLUMN(Table4[[#Headers],[Index]]),1))),T(INDEX(_xlfn._xlws.FILTER(Surplus[Functional Centre],Surplus[TPBE]=INDEX(Table4[#Headers],SUM(COLUMN()-COLUMN(Table4[[#Headers],[Index]]),1))),Table4[[#This Row],[Index]])),"")</f>
        <v/>
      </c>
      <c r="U13" t="str" cm="1">
        <f t="array" ref="U13">IF(Table4[[#This Row],[Index]]&lt;=COUNTIFS(Surplus[TPBE],INDEX(Table4[#Headers],SUM(COLUMN()-COLUMN(Table4[[#Headers],[Index]]),1))),T(INDEX(_xlfn._xlws.FILTER(Surplus[Functional Centre],Surplus[TPBE]=INDEX(Table4[#Headers],SUM(COLUMN()-COLUMN(Table4[[#Headers],[Index]]),1))),Table4[[#This Row],[Index]])),"")</f>
        <v/>
      </c>
      <c r="V13" t="str" cm="1">
        <f t="array" ref="V13">IF(Table4[[#This Row],[Index]]&lt;=COUNTIFS(Surplus[TPBE],INDEX(Table4[#Headers],SUM(COLUMN()-COLUMN(Table4[[#Headers],[Index]]),1))),T(INDEX(_xlfn._xlws.FILTER(Surplus[Functional Centre],Surplus[TPBE]=INDEX(Table4[#Headers],SUM(COLUMN()-COLUMN(Table4[[#Headers],[Index]]),1))),Table4[[#This Row],[Index]])),"")</f>
        <v/>
      </c>
      <c r="W13" t="str" cm="1">
        <f t="array" ref="W13">IF(Table4[[#This Row],[Index]]&lt;=COUNTIFS(Surplus[TPBE],INDEX(Table4[#Headers],SUM(COLUMN()-COLUMN(Table4[[#Headers],[Index]]),1))),T(INDEX(_xlfn._xlws.FILTER(Surplus[Functional Centre],Surplus[TPBE]=INDEX(Table4[#Headers],SUM(COLUMN()-COLUMN(Table4[[#Headers],[Index]]),1))),Table4[[#This Row],[Index]])),"")</f>
        <v/>
      </c>
      <c r="X13" t="str" cm="1">
        <f t="array" ref="X13">IF(Table4[[#This Row],[Index]]&lt;=COUNTIFS(Surplus[TPBE],INDEX(Table4[#Headers],SUM(COLUMN()-COLUMN(Table4[[#Headers],[Index]]),1))),T(INDEX(_xlfn._xlws.FILTER(Surplus[Functional Centre],Surplus[TPBE]=INDEX(Table4[#Headers],SUM(COLUMN()-COLUMN(Table4[[#Headers],[Index]]),1))),Table4[[#This Row],[Index]])),"")</f>
        <v/>
      </c>
      <c r="Y13" t="str" cm="1">
        <f t="array" ref="Y13">IF(Table4[[#This Row],[Index]]&lt;=COUNTIFS(Surplus[TPBE],INDEX(Table4[#Headers],SUM(COLUMN()-COLUMN(Table4[[#Headers],[Index]]),1))),T(INDEX(_xlfn._xlws.FILTER(Surplus[Functional Centre],Surplus[TPBE]=INDEX(Table4[#Headers],SUM(COLUMN()-COLUMN(Table4[[#Headers],[Index]]),1))),Table4[[#This Row],[Index]])),"")</f>
        <v/>
      </c>
      <c r="Z13" t="str" cm="1">
        <f t="array" ref="Z13">IF(Table4[[#This Row],[Index]]&lt;=COUNTIFS(Surplus[TPBE],INDEX(Table4[#Headers],SUM(COLUMN()-COLUMN(Table4[[#Headers],[Index]]),1))),T(INDEX(_xlfn._xlws.FILTER(Surplus[Functional Centre],Surplus[TPBE]=INDEX(Table4[#Headers],SUM(COLUMN()-COLUMN(Table4[[#Headers],[Index]]),1))),Table4[[#This Row],[Index]])),"")</f>
        <v/>
      </c>
      <c r="AA13" t="str" cm="1">
        <f t="array" ref="AA13">IF(Table4[[#This Row],[Index]]&lt;=COUNTIFS(Surplus[TPBE],INDEX(Table4[#Headers],SUM(COLUMN()-COLUMN(Table4[[#Headers],[Index]]),1))),T(INDEX(_xlfn._xlws.FILTER(Surplus[Functional Centre],Surplus[TPBE]=INDEX(Table4[#Headers],SUM(COLUMN()-COLUMN(Table4[[#Headers],[Index]]),1))),Table4[[#This Row],[Index]])),"")</f>
        <v/>
      </c>
      <c r="AB13" t="str" cm="1">
        <f t="array" ref="AB13">IF(Table4[[#This Row],[Index]]&lt;=COUNTIFS(Surplus[TPBE],INDEX(Table4[#Headers],SUM(COLUMN()-COLUMN(Table4[[#Headers],[Index]]),1))),T(INDEX(_xlfn._xlws.FILTER(Surplus[Functional Centre],Surplus[TPBE]=INDEX(Table4[#Headers],SUM(COLUMN()-COLUMN(Table4[[#Headers],[Index]]),1))),Table4[[#This Row],[Index]])),"")</f>
        <v/>
      </c>
      <c r="AD13" t="s">
        <v>645</v>
      </c>
      <c r="AE13" s="20" t="s">
        <v>692</v>
      </c>
      <c r="AF13" s="20" t="s">
        <v>693</v>
      </c>
      <c r="AG13" t="s">
        <v>694</v>
      </c>
      <c r="AH13" t="str">
        <f>PROPER(Agencies[[#This Row],[HSP Name]])</f>
        <v>Canadian Mental Health Assoc (Cmha) York Region</v>
      </c>
      <c r="AI13" t="s">
        <v>695</v>
      </c>
    </row>
    <row r="14" spans="1:35" x14ac:dyDescent="0.35">
      <c r="A14">
        <f>ROW()-ROW(TPBE[[#Headers],[Index]])</f>
        <v>11</v>
      </c>
      <c r="B14" t="s">
        <v>158</v>
      </c>
      <c r="C14" t="s">
        <v>18</v>
      </c>
      <c r="D14" t="s">
        <v>158</v>
      </c>
      <c r="E14" s="32">
        <f>MATCH(TPBE[[#This Row],[Group]],TPBE_Surplus[Sector],0)</f>
        <v>7</v>
      </c>
      <c r="F14" s="22">
        <f>SUMIFS(Surplus[Forecasted Surplus],Surplus[TPBE],TPBE[[#This Row],[TPBE]])</f>
        <v>0</v>
      </c>
      <c r="G14" s="22" t="b">
        <f>TPBE[[#This Row],[FC Surplus Amount]]&lt;&gt;0</f>
        <v>0</v>
      </c>
      <c r="H14" s="22" t="b">
        <f>SUMIFS(TPBE[FC Surplus Amount],TPBE[Group],TPBE[[#This Row],[Group]])&lt;&gt;0</f>
        <v>0</v>
      </c>
      <c r="I14" s="22" t="str" cm="1">
        <f t="array" ref="I14">IF(TPBE[[#This Row],[Index]]&gt;COUNTIFS(TPBE[Reallocation DD Check],TRUE),"",INDEX(_xlfn._xlws.FILTER(TPBE[TPBE],TPBE[Reallocation DD Check]),TPBE[[#This Row],[Index]]))</f>
        <v/>
      </c>
      <c r="J14" s="22" t="str" cm="1">
        <f t="array" ref="J14">IF(TPBE[[#This Row],[Index]]&gt;COUNTIFS(TPBE[Request DD Check],TRUE),"",INDEX(_xlfn._xlws.FILTER(TPBE[TPBE],TPBE[Request DD Check]),TPBE[[#This Row],[Index]]))</f>
        <v/>
      </c>
      <c r="M14">
        <f>ROW()-ROW(Table4[[#Headers],[Index]])</f>
        <v>11</v>
      </c>
      <c r="N14" t="str" cm="1">
        <f t="array" ref="N14">IF(Table4[[#This Row],[Index]]&lt;=COUNTIFS(Surplus[TPBE],INDEX(Table4[#Headers],SUM(COLUMN()-COLUMN(Table4[[#Headers],[Index]]),1))),T(INDEX(_xlfn._xlws.FILTER(Surplus[Functional Centre],Surplus[TPBE]=INDEX(Table4[#Headers],SUM(COLUMN()-COLUMN(Table4[[#Headers],[Index]]),1))),Table4[[#This Row],[Index]])),"")</f>
        <v/>
      </c>
      <c r="O14" t="str" cm="1">
        <f t="array" ref="O14">IF(Table4[[#This Row],[Index]]&lt;=COUNTIFS(Surplus[TPBE],INDEX(Table4[#Headers],SUM(COLUMN()-COLUMN(Table4[[#Headers],[Index]]),1))),T(INDEX(_xlfn._xlws.FILTER(Surplus[Functional Centre],Surplus[TPBE]=INDEX(Table4[#Headers],SUM(COLUMN()-COLUMN(Table4[[#Headers],[Index]]),1))),Table4[[#This Row],[Index]])),"")</f>
        <v/>
      </c>
      <c r="P14" t="str" cm="1">
        <f t="array" ref="P14">IF(Table4[[#This Row],[Index]]&lt;=COUNTIFS(Surplus[TPBE],INDEX(Table4[#Headers],SUM(COLUMN()-COLUMN(Table4[[#Headers],[Index]]),1))),T(INDEX(_xlfn._xlws.FILTER(Surplus[Functional Centre],Surplus[TPBE]=INDEX(Table4[#Headers],SUM(COLUMN()-COLUMN(Table4[[#Headers],[Index]]),1))),Table4[[#This Row],[Index]])),"")</f>
        <v/>
      </c>
      <c r="Q14" t="str" cm="1">
        <f t="array" ref="Q14">IF(Table4[[#This Row],[Index]]&lt;=COUNTIFS(Surplus[TPBE],INDEX(Table4[#Headers],SUM(COLUMN()-COLUMN(Table4[[#Headers],[Index]]),1))),T(INDEX(_xlfn._xlws.FILTER(Surplus[Functional Centre],Surplus[TPBE]=INDEX(Table4[#Headers],SUM(COLUMN()-COLUMN(Table4[[#Headers],[Index]]),1))),Table4[[#This Row],[Index]])),"")</f>
        <v/>
      </c>
      <c r="R14" t="str" cm="1">
        <f t="array" ref="R14">IF(Table4[[#This Row],[Index]]&lt;=COUNTIFS(Surplus[TPBE],INDEX(Table4[#Headers],SUM(COLUMN()-COLUMN(Table4[[#Headers],[Index]]),1))),T(INDEX(_xlfn._xlws.FILTER(Surplus[Functional Centre],Surplus[TPBE]=INDEX(Table4[#Headers],SUM(COLUMN()-COLUMN(Table4[[#Headers],[Index]]),1))),Table4[[#This Row],[Index]])),"")</f>
        <v/>
      </c>
      <c r="S14" t="str" cm="1">
        <f t="array" ref="S14">IF(Table4[[#This Row],[Index]]&lt;=COUNTIFS(Surplus[TPBE],INDEX(Table4[#Headers],SUM(COLUMN()-COLUMN(Table4[[#Headers],[Index]]),1))),T(INDEX(_xlfn._xlws.FILTER(Surplus[Functional Centre],Surplus[TPBE]=INDEX(Table4[#Headers],SUM(COLUMN()-COLUMN(Table4[[#Headers],[Index]]),1))),Table4[[#This Row],[Index]])),"")</f>
        <v/>
      </c>
      <c r="T14" t="str" cm="1">
        <f t="array" ref="T14">IF(Table4[[#This Row],[Index]]&lt;=COUNTIFS(Surplus[TPBE],INDEX(Table4[#Headers],SUM(COLUMN()-COLUMN(Table4[[#Headers],[Index]]),1))),T(INDEX(_xlfn._xlws.FILTER(Surplus[Functional Centre],Surplus[TPBE]=INDEX(Table4[#Headers],SUM(COLUMN()-COLUMN(Table4[[#Headers],[Index]]),1))),Table4[[#This Row],[Index]])),"")</f>
        <v/>
      </c>
      <c r="U14" t="str" cm="1">
        <f t="array" ref="U14">IF(Table4[[#This Row],[Index]]&lt;=COUNTIFS(Surplus[TPBE],INDEX(Table4[#Headers],SUM(COLUMN()-COLUMN(Table4[[#Headers],[Index]]),1))),T(INDEX(_xlfn._xlws.FILTER(Surplus[Functional Centre],Surplus[TPBE]=INDEX(Table4[#Headers],SUM(COLUMN()-COLUMN(Table4[[#Headers],[Index]]),1))),Table4[[#This Row],[Index]])),"")</f>
        <v/>
      </c>
      <c r="V14" t="str" cm="1">
        <f t="array" ref="V14">IF(Table4[[#This Row],[Index]]&lt;=COUNTIFS(Surplus[TPBE],INDEX(Table4[#Headers],SUM(COLUMN()-COLUMN(Table4[[#Headers],[Index]]),1))),T(INDEX(_xlfn._xlws.FILTER(Surplus[Functional Centre],Surplus[TPBE]=INDEX(Table4[#Headers],SUM(COLUMN()-COLUMN(Table4[[#Headers],[Index]]),1))),Table4[[#This Row],[Index]])),"")</f>
        <v/>
      </c>
      <c r="W14" t="str" cm="1">
        <f t="array" ref="W14">IF(Table4[[#This Row],[Index]]&lt;=COUNTIFS(Surplus[TPBE],INDEX(Table4[#Headers],SUM(COLUMN()-COLUMN(Table4[[#Headers],[Index]]),1))),T(INDEX(_xlfn._xlws.FILTER(Surplus[Functional Centre],Surplus[TPBE]=INDEX(Table4[#Headers],SUM(COLUMN()-COLUMN(Table4[[#Headers],[Index]]),1))),Table4[[#This Row],[Index]])),"")</f>
        <v/>
      </c>
      <c r="X14" t="str" cm="1">
        <f t="array" ref="X14">IF(Table4[[#This Row],[Index]]&lt;=COUNTIFS(Surplus[TPBE],INDEX(Table4[#Headers],SUM(COLUMN()-COLUMN(Table4[[#Headers],[Index]]),1))),T(INDEX(_xlfn._xlws.FILTER(Surplus[Functional Centre],Surplus[TPBE]=INDEX(Table4[#Headers],SUM(COLUMN()-COLUMN(Table4[[#Headers],[Index]]),1))),Table4[[#This Row],[Index]])),"")</f>
        <v/>
      </c>
      <c r="Y14" t="str" cm="1">
        <f t="array" ref="Y14">IF(Table4[[#This Row],[Index]]&lt;=COUNTIFS(Surplus[TPBE],INDEX(Table4[#Headers],SUM(COLUMN()-COLUMN(Table4[[#Headers],[Index]]),1))),T(INDEX(_xlfn._xlws.FILTER(Surplus[Functional Centre],Surplus[TPBE]=INDEX(Table4[#Headers],SUM(COLUMN()-COLUMN(Table4[[#Headers],[Index]]),1))),Table4[[#This Row],[Index]])),"")</f>
        <v/>
      </c>
      <c r="Z14" t="str" cm="1">
        <f t="array" ref="Z14">IF(Table4[[#This Row],[Index]]&lt;=COUNTIFS(Surplus[TPBE],INDEX(Table4[#Headers],SUM(COLUMN()-COLUMN(Table4[[#Headers],[Index]]),1))),T(INDEX(_xlfn._xlws.FILTER(Surplus[Functional Centre],Surplus[TPBE]=INDEX(Table4[#Headers],SUM(COLUMN()-COLUMN(Table4[[#Headers],[Index]]),1))),Table4[[#This Row],[Index]])),"")</f>
        <v/>
      </c>
      <c r="AA14" t="str" cm="1">
        <f t="array" ref="AA14">IF(Table4[[#This Row],[Index]]&lt;=COUNTIFS(Surplus[TPBE],INDEX(Table4[#Headers],SUM(COLUMN()-COLUMN(Table4[[#Headers],[Index]]),1))),T(INDEX(_xlfn._xlws.FILTER(Surplus[Functional Centre],Surplus[TPBE]=INDEX(Table4[#Headers],SUM(COLUMN()-COLUMN(Table4[[#Headers],[Index]]),1))),Table4[[#This Row],[Index]])),"")</f>
        <v/>
      </c>
      <c r="AB14" t="str" cm="1">
        <f t="array" ref="AB14">IF(Table4[[#This Row],[Index]]&lt;=COUNTIFS(Surplus[TPBE],INDEX(Table4[#Headers],SUM(COLUMN()-COLUMN(Table4[[#Headers],[Index]]),1))),T(INDEX(_xlfn._xlws.FILTER(Surplus[Functional Centre],Surplus[TPBE]=INDEX(Table4[#Headers],SUM(COLUMN()-COLUMN(Table4[[#Headers],[Index]]),1))),Table4[[#This Row],[Index]])),"")</f>
        <v/>
      </c>
      <c r="AD14" t="s">
        <v>645</v>
      </c>
      <c r="AE14" s="20" t="s">
        <v>696</v>
      </c>
      <c r="AF14" s="20" t="s">
        <v>697</v>
      </c>
      <c r="AG14" t="s">
        <v>698</v>
      </c>
      <c r="AH14" t="str">
        <f>PROPER(Agencies[[#This Row],[HSP Name]])</f>
        <v>Canadian Mental Health Association Toronto Branch</v>
      </c>
      <c r="AI14" t="s">
        <v>699</v>
      </c>
    </row>
    <row r="15" spans="1:35" x14ac:dyDescent="0.35">
      <c r="A15">
        <f>ROW()-ROW(TPBE[[#Headers],[Index]])</f>
        <v>12</v>
      </c>
      <c r="B15" t="s">
        <v>159</v>
      </c>
      <c r="C15" t="s">
        <v>30</v>
      </c>
      <c r="D15" t="s">
        <v>159</v>
      </c>
      <c r="E15" s="32">
        <f>MATCH(TPBE[[#This Row],[Group]],TPBE_Surplus[Sector],0)</f>
        <v>8</v>
      </c>
      <c r="F15" s="22">
        <f>SUMIFS(Surplus[Forecasted Surplus],Surplus[TPBE],TPBE[[#This Row],[TPBE]])</f>
        <v>0</v>
      </c>
      <c r="G15" s="22" t="b">
        <f>TPBE[[#This Row],[FC Surplus Amount]]&lt;&gt;0</f>
        <v>0</v>
      </c>
      <c r="H15" s="22" t="b">
        <f>SUMIFS(TPBE[FC Surplus Amount],TPBE[Group],TPBE[[#This Row],[Group]])&lt;&gt;0</f>
        <v>0</v>
      </c>
      <c r="I15" s="22" t="str" cm="1">
        <f t="array" ref="I15">IF(TPBE[[#This Row],[Index]]&gt;COUNTIFS(TPBE[Reallocation DD Check],TRUE),"",INDEX(_xlfn._xlws.FILTER(TPBE[TPBE],TPBE[Reallocation DD Check]),TPBE[[#This Row],[Index]]))</f>
        <v/>
      </c>
      <c r="J15" s="22" t="str" cm="1">
        <f t="array" ref="J15">IF(TPBE[[#This Row],[Index]]&gt;COUNTIFS(TPBE[Request DD Check],TRUE),"",INDEX(_xlfn._xlws.FILTER(TPBE[TPBE],TPBE[Request DD Check]),TPBE[[#This Row],[Index]]))</f>
        <v/>
      </c>
      <c r="M15">
        <f>ROW()-ROW(Table4[[#Headers],[Index]])</f>
        <v>12</v>
      </c>
      <c r="N15" t="str" cm="1">
        <f t="array" ref="N15">IF(Table4[[#This Row],[Index]]&lt;=COUNTIFS(Surplus[TPBE],INDEX(Table4[#Headers],SUM(COLUMN()-COLUMN(Table4[[#Headers],[Index]]),1))),T(INDEX(_xlfn._xlws.FILTER(Surplus[Functional Centre],Surplus[TPBE]=INDEX(Table4[#Headers],SUM(COLUMN()-COLUMN(Table4[[#Headers],[Index]]),1))),Table4[[#This Row],[Index]])),"")</f>
        <v/>
      </c>
      <c r="O15" t="str" cm="1">
        <f t="array" ref="O15">IF(Table4[[#This Row],[Index]]&lt;=COUNTIFS(Surplus[TPBE],INDEX(Table4[#Headers],SUM(COLUMN()-COLUMN(Table4[[#Headers],[Index]]),1))),T(INDEX(_xlfn._xlws.FILTER(Surplus[Functional Centre],Surplus[TPBE]=INDEX(Table4[#Headers],SUM(COLUMN()-COLUMN(Table4[[#Headers],[Index]]),1))),Table4[[#This Row],[Index]])),"")</f>
        <v/>
      </c>
      <c r="P15" t="str" cm="1">
        <f t="array" ref="P15">IF(Table4[[#This Row],[Index]]&lt;=COUNTIFS(Surplus[TPBE],INDEX(Table4[#Headers],SUM(COLUMN()-COLUMN(Table4[[#Headers],[Index]]),1))),T(INDEX(_xlfn._xlws.FILTER(Surplus[Functional Centre],Surplus[TPBE]=INDEX(Table4[#Headers],SUM(COLUMN()-COLUMN(Table4[[#Headers],[Index]]),1))),Table4[[#This Row],[Index]])),"")</f>
        <v/>
      </c>
      <c r="Q15" t="str" cm="1">
        <f t="array" ref="Q15">IF(Table4[[#This Row],[Index]]&lt;=COUNTIFS(Surplus[TPBE],INDEX(Table4[#Headers],SUM(COLUMN()-COLUMN(Table4[[#Headers],[Index]]),1))),T(INDEX(_xlfn._xlws.FILTER(Surplus[Functional Centre],Surplus[TPBE]=INDEX(Table4[#Headers],SUM(COLUMN()-COLUMN(Table4[[#Headers],[Index]]),1))),Table4[[#This Row],[Index]])),"")</f>
        <v/>
      </c>
      <c r="R15" t="str" cm="1">
        <f t="array" ref="R15">IF(Table4[[#This Row],[Index]]&lt;=COUNTIFS(Surplus[TPBE],INDEX(Table4[#Headers],SUM(COLUMN()-COLUMN(Table4[[#Headers],[Index]]),1))),T(INDEX(_xlfn._xlws.FILTER(Surplus[Functional Centre],Surplus[TPBE]=INDEX(Table4[#Headers],SUM(COLUMN()-COLUMN(Table4[[#Headers],[Index]]),1))),Table4[[#This Row],[Index]])),"")</f>
        <v/>
      </c>
      <c r="S15" t="str" cm="1">
        <f t="array" ref="S15">IF(Table4[[#This Row],[Index]]&lt;=COUNTIFS(Surplus[TPBE],INDEX(Table4[#Headers],SUM(COLUMN()-COLUMN(Table4[[#Headers],[Index]]),1))),T(INDEX(_xlfn._xlws.FILTER(Surplus[Functional Centre],Surplus[TPBE]=INDEX(Table4[#Headers],SUM(COLUMN()-COLUMN(Table4[[#Headers],[Index]]),1))),Table4[[#This Row],[Index]])),"")</f>
        <v/>
      </c>
      <c r="T15" t="str" cm="1">
        <f t="array" ref="T15">IF(Table4[[#This Row],[Index]]&lt;=COUNTIFS(Surplus[TPBE],INDEX(Table4[#Headers],SUM(COLUMN()-COLUMN(Table4[[#Headers],[Index]]),1))),T(INDEX(_xlfn._xlws.FILTER(Surplus[Functional Centre],Surplus[TPBE]=INDEX(Table4[#Headers],SUM(COLUMN()-COLUMN(Table4[[#Headers],[Index]]),1))),Table4[[#This Row],[Index]])),"")</f>
        <v/>
      </c>
      <c r="U15" t="str" cm="1">
        <f t="array" ref="U15">IF(Table4[[#This Row],[Index]]&lt;=COUNTIFS(Surplus[TPBE],INDEX(Table4[#Headers],SUM(COLUMN()-COLUMN(Table4[[#Headers],[Index]]),1))),T(INDEX(_xlfn._xlws.FILTER(Surplus[Functional Centre],Surplus[TPBE]=INDEX(Table4[#Headers],SUM(COLUMN()-COLUMN(Table4[[#Headers],[Index]]),1))),Table4[[#This Row],[Index]])),"")</f>
        <v/>
      </c>
      <c r="V15" t="str" cm="1">
        <f t="array" ref="V15">IF(Table4[[#This Row],[Index]]&lt;=COUNTIFS(Surplus[TPBE],INDEX(Table4[#Headers],SUM(COLUMN()-COLUMN(Table4[[#Headers],[Index]]),1))),T(INDEX(_xlfn._xlws.FILTER(Surplus[Functional Centre],Surplus[TPBE]=INDEX(Table4[#Headers],SUM(COLUMN()-COLUMN(Table4[[#Headers],[Index]]),1))),Table4[[#This Row],[Index]])),"")</f>
        <v/>
      </c>
      <c r="W15" t="str" cm="1">
        <f t="array" ref="W15">IF(Table4[[#This Row],[Index]]&lt;=COUNTIFS(Surplus[TPBE],INDEX(Table4[#Headers],SUM(COLUMN()-COLUMN(Table4[[#Headers],[Index]]),1))),T(INDEX(_xlfn._xlws.FILTER(Surplus[Functional Centre],Surplus[TPBE]=INDEX(Table4[#Headers],SUM(COLUMN()-COLUMN(Table4[[#Headers],[Index]]),1))),Table4[[#This Row],[Index]])),"")</f>
        <v/>
      </c>
      <c r="X15" t="str" cm="1">
        <f t="array" ref="X15">IF(Table4[[#This Row],[Index]]&lt;=COUNTIFS(Surplus[TPBE],INDEX(Table4[#Headers],SUM(COLUMN()-COLUMN(Table4[[#Headers],[Index]]),1))),T(INDEX(_xlfn._xlws.FILTER(Surplus[Functional Centre],Surplus[TPBE]=INDEX(Table4[#Headers],SUM(COLUMN()-COLUMN(Table4[[#Headers],[Index]]),1))),Table4[[#This Row],[Index]])),"")</f>
        <v/>
      </c>
      <c r="Y15" t="str" cm="1">
        <f t="array" ref="Y15">IF(Table4[[#This Row],[Index]]&lt;=COUNTIFS(Surplus[TPBE],INDEX(Table4[#Headers],SUM(COLUMN()-COLUMN(Table4[[#Headers],[Index]]),1))),T(INDEX(_xlfn._xlws.FILTER(Surplus[Functional Centre],Surplus[TPBE]=INDEX(Table4[#Headers],SUM(COLUMN()-COLUMN(Table4[[#Headers],[Index]]),1))),Table4[[#This Row],[Index]])),"")</f>
        <v/>
      </c>
      <c r="Z15" t="str" cm="1">
        <f t="array" ref="Z15">IF(Table4[[#This Row],[Index]]&lt;=COUNTIFS(Surplus[TPBE],INDEX(Table4[#Headers],SUM(COLUMN()-COLUMN(Table4[[#Headers],[Index]]),1))),T(INDEX(_xlfn._xlws.FILTER(Surplus[Functional Centre],Surplus[TPBE]=INDEX(Table4[#Headers],SUM(COLUMN()-COLUMN(Table4[[#Headers],[Index]]),1))),Table4[[#This Row],[Index]])),"")</f>
        <v/>
      </c>
      <c r="AA15" t="str" cm="1">
        <f t="array" ref="AA15">IF(Table4[[#This Row],[Index]]&lt;=COUNTIFS(Surplus[TPBE],INDEX(Table4[#Headers],SUM(COLUMN()-COLUMN(Table4[[#Headers],[Index]]),1))),T(INDEX(_xlfn._xlws.FILTER(Surplus[Functional Centre],Surplus[TPBE]=INDEX(Table4[#Headers],SUM(COLUMN()-COLUMN(Table4[[#Headers],[Index]]),1))),Table4[[#This Row],[Index]])),"")</f>
        <v/>
      </c>
      <c r="AB15" t="str" cm="1">
        <f t="array" ref="AB15">IF(Table4[[#This Row],[Index]]&lt;=COUNTIFS(Surplus[TPBE],INDEX(Table4[#Headers],SUM(COLUMN()-COLUMN(Table4[[#Headers],[Index]]),1))),T(INDEX(_xlfn._xlws.FILTER(Surplus[Functional Centre],Surplus[TPBE]=INDEX(Table4[#Headers],SUM(COLUMN()-COLUMN(Table4[[#Headers],[Index]]),1))),Table4[[#This Row],[Index]])),"")</f>
        <v/>
      </c>
      <c r="AD15" t="s">
        <v>645</v>
      </c>
      <c r="AE15" s="20">
        <v>4108</v>
      </c>
      <c r="AF15" s="20" t="s">
        <v>700</v>
      </c>
      <c r="AG15" t="s">
        <v>701</v>
      </c>
      <c r="AH15" t="str">
        <f>PROPER(Agencies[[#This Row],[HSP Name]])</f>
        <v>Carefirst Seniors And Community Services Association</v>
      </c>
      <c r="AI15" t="s">
        <v>702</v>
      </c>
    </row>
    <row r="16" spans="1:35" x14ac:dyDescent="0.35">
      <c r="A16">
        <f>ROW()-ROW(TPBE[[#Headers],[Index]])</f>
        <v>13</v>
      </c>
      <c r="B16" t="s">
        <v>160</v>
      </c>
      <c r="C16" t="s">
        <v>703</v>
      </c>
      <c r="D16" t="s">
        <v>160</v>
      </c>
      <c r="E16" s="32">
        <f>MATCH(TPBE[[#This Row],[Group]],TPBE_Surplus[Sector],0)</f>
        <v>9</v>
      </c>
      <c r="F16" s="22">
        <f>SUMIFS(Surplus[Forecasted Surplus],Surplus[TPBE],TPBE[[#This Row],[TPBE]])</f>
        <v>0</v>
      </c>
      <c r="G16" s="22" t="b">
        <f>TPBE[[#This Row],[FC Surplus Amount]]&lt;&gt;0</f>
        <v>0</v>
      </c>
      <c r="H16" s="22" t="b">
        <f>SUMIFS(TPBE[FC Surplus Amount],TPBE[Group],TPBE[[#This Row],[Group]])&lt;&gt;0</f>
        <v>0</v>
      </c>
      <c r="I16" s="22" t="str" cm="1">
        <f t="array" ref="I16">IF(TPBE[[#This Row],[Index]]&gt;COUNTIFS(TPBE[Reallocation DD Check],TRUE),"",INDEX(_xlfn._xlws.FILTER(TPBE[TPBE],TPBE[Reallocation DD Check]),TPBE[[#This Row],[Index]]))</f>
        <v/>
      </c>
      <c r="J16" s="22" t="str" cm="1">
        <f t="array" ref="J16">IF(TPBE[[#This Row],[Index]]&gt;COUNTIFS(TPBE[Request DD Check],TRUE),"",INDEX(_xlfn._xlws.FILTER(TPBE[TPBE],TPBE[Request DD Check]),TPBE[[#This Row],[Index]]))</f>
        <v/>
      </c>
      <c r="M16">
        <f>ROW()-ROW(Table4[[#Headers],[Index]])</f>
        <v>13</v>
      </c>
      <c r="N16" t="str" cm="1">
        <f t="array" ref="N16">IF(Table4[[#This Row],[Index]]&lt;=COUNTIFS(Surplus[TPBE],INDEX(Table4[#Headers],SUM(COLUMN()-COLUMN(Table4[[#Headers],[Index]]),1))),T(INDEX(_xlfn._xlws.FILTER(Surplus[Functional Centre],Surplus[TPBE]=INDEX(Table4[#Headers],SUM(COLUMN()-COLUMN(Table4[[#Headers],[Index]]),1))),Table4[[#This Row],[Index]])),"")</f>
        <v/>
      </c>
      <c r="O16" t="str" cm="1">
        <f t="array" ref="O16">IF(Table4[[#This Row],[Index]]&lt;=COUNTIFS(Surplus[TPBE],INDEX(Table4[#Headers],SUM(COLUMN()-COLUMN(Table4[[#Headers],[Index]]),1))),T(INDEX(_xlfn._xlws.FILTER(Surplus[Functional Centre],Surplus[TPBE]=INDEX(Table4[#Headers],SUM(COLUMN()-COLUMN(Table4[[#Headers],[Index]]),1))),Table4[[#This Row],[Index]])),"")</f>
        <v/>
      </c>
      <c r="P16" t="str" cm="1">
        <f t="array" ref="P16">IF(Table4[[#This Row],[Index]]&lt;=COUNTIFS(Surplus[TPBE],INDEX(Table4[#Headers],SUM(COLUMN()-COLUMN(Table4[[#Headers],[Index]]),1))),T(INDEX(_xlfn._xlws.FILTER(Surplus[Functional Centre],Surplus[TPBE]=INDEX(Table4[#Headers],SUM(COLUMN()-COLUMN(Table4[[#Headers],[Index]]),1))),Table4[[#This Row],[Index]])),"")</f>
        <v/>
      </c>
      <c r="Q16" t="str" cm="1">
        <f t="array" ref="Q16">IF(Table4[[#This Row],[Index]]&lt;=COUNTIFS(Surplus[TPBE],INDEX(Table4[#Headers],SUM(COLUMN()-COLUMN(Table4[[#Headers],[Index]]),1))),T(INDEX(_xlfn._xlws.FILTER(Surplus[Functional Centre],Surplus[TPBE]=INDEX(Table4[#Headers],SUM(COLUMN()-COLUMN(Table4[[#Headers],[Index]]),1))),Table4[[#This Row],[Index]])),"")</f>
        <v/>
      </c>
      <c r="R16" t="str" cm="1">
        <f t="array" ref="R16">IF(Table4[[#This Row],[Index]]&lt;=COUNTIFS(Surplus[TPBE],INDEX(Table4[#Headers],SUM(COLUMN()-COLUMN(Table4[[#Headers],[Index]]),1))),T(INDEX(_xlfn._xlws.FILTER(Surplus[Functional Centre],Surplus[TPBE]=INDEX(Table4[#Headers],SUM(COLUMN()-COLUMN(Table4[[#Headers],[Index]]),1))),Table4[[#This Row],[Index]])),"")</f>
        <v/>
      </c>
      <c r="S16" t="str" cm="1">
        <f t="array" ref="S16">IF(Table4[[#This Row],[Index]]&lt;=COUNTIFS(Surplus[TPBE],INDEX(Table4[#Headers],SUM(COLUMN()-COLUMN(Table4[[#Headers],[Index]]),1))),T(INDEX(_xlfn._xlws.FILTER(Surplus[Functional Centre],Surplus[TPBE]=INDEX(Table4[#Headers],SUM(COLUMN()-COLUMN(Table4[[#Headers],[Index]]),1))),Table4[[#This Row],[Index]])),"")</f>
        <v/>
      </c>
      <c r="T16" t="str" cm="1">
        <f t="array" ref="T16">IF(Table4[[#This Row],[Index]]&lt;=COUNTIFS(Surplus[TPBE],INDEX(Table4[#Headers],SUM(COLUMN()-COLUMN(Table4[[#Headers],[Index]]),1))),T(INDEX(_xlfn._xlws.FILTER(Surplus[Functional Centre],Surplus[TPBE]=INDEX(Table4[#Headers],SUM(COLUMN()-COLUMN(Table4[[#Headers],[Index]]),1))),Table4[[#This Row],[Index]])),"")</f>
        <v/>
      </c>
      <c r="U16" t="str" cm="1">
        <f t="array" ref="U16">IF(Table4[[#This Row],[Index]]&lt;=COUNTIFS(Surplus[TPBE],INDEX(Table4[#Headers],SUM(COLUMN()-COLUMN(Table4[[#Headers],[Index]]),1))),T(INDEX(_xlfn._xlws.FILTER(Surplus[Functional Centre],Surplus[TPBE]=INDEX(Table4[#Headers],SUM(COLUMN()-COLUMN(Table4[[#Headers],[Index]]),1))),Table4[[#This Row],[Index]])),"")</f>
        <v/>
      </c>
      <c r="V16" t="str" cm="1">
        <f t="array" ref="V16">IF(Table4[[#This Row],[Index]]&lt;=COUNTIFS(Surplus[TPBE],INDEX(Table4[#Headers],SUM(COLUMN()-COLUMN(Table4[[#Headers],[Index]]),1))),T(INDEX(_xlfn._xlws.FILTER(Surplus[Functional Centre],Surplus[TPBE]=INDEX(Table4[#Headers],SUM(COLUMN()-COLUMN(Table4[[#Headers],[Index]]),1))),Table4[[#This Row],[Index]])),"")</f>
        <v/>
      </c>
      <c r="W16" t="str" cm="1">
        <f t="array" ref="W16">IF(Table4[[#This Row],[Index]]&lt;=COUNTIFS(Surplus[TPBE],INDEX(Table4[#Headers],SUM(COLUMN()-COLUMN(Table4[[#Headers],[Index]]),1))),T(INDEX(_xlfn._xlws.FILTER(Surplus[Functional Centre],Surplus[TPBE]=INDEX(Table4[#Headers],SUM(COLUMN()-COLUMN(Table4[[#Headers],[Index]]),1))),Table4[[#This Row],[Index]])),"")</f>
        <v/>
      </c>
      <c r="X16" t="str" cm="1">
        <f t="array" ref="X16">IF(Table4[[#This Row],[Index]]&lt;=COUNTIFS(Surplus[TPBE],INDEX(Table4[#Headers],SUM(COLUMN()-COLUMN(Table4[[#Headers],[Index]]),1))),T(INDEX(_xlfn._xlws.FILTER(Surplus[Functional Centre],Surplus[TPBE]=INDEX(Table4[#Headers],SUM(COLUMN()-COLUMN(Table4[[#Headers],[Index]]),1))),Table4[[#This Row],[Index]])),"")</f>
        <v/>
      </c>
      <c r="Y16" t="str" cm="1">
        <f t="array" ref="Y16">IF(Table4[[#This Row],[Index]]&lt;=COUNTIFS(Surplus[TPBE],INDEX(Table4[#Headers],SUM(COLUMN()-COLUMN(Table4[[#Headers],[Index]]),1))),T(INDEX(_xlfn._xlws.FILTER(Surplus[Functional Centre],Surplus[TPBE]=INDEX(Table4[#Headers],SUM(COLUMN()-COLUMN(Table4[[#Headers],[Index]]),1))),Table4[[#This Row],[Index]])),"")</f>
        <v/>
      </c>
      <c r="Z16" t="str" cm="1">
        <f t="array" ref="Z16">IF(Table4[[#This Row],[Index]]&lt;=COUNTIFS(Surplus[TPBE],INDEX(Table4[#Headers],SUM(COLUMN()-COLUMN(Table4[[#Headers],[Index]]),1))),T(INDEX(_xlfn._xlws.FILTER(Surplus[Functional Centre],Surplus[TPBE]=INDEX(Table4[#Headers],SUM(COLUMN()-COLUMN(Table4[[#Headers],[Index]]),1))),Table4[[#This Row],[Index]])),"")</f>
        <v/>
      </c>
      <c r="AA16" t="str" cm="1">
        <f t="array" ref="AA16">IF(Table4[[#This Row],[Index]]&lt;=COUNTIFS(Surplus[TPBE],INDEX(Table4[#Headers],SUM(COLUMN()-COLUMN(Table4[[#Headers],[Index]]),1))),T(INDEX(_xlfn._xlws.FILTER(Surplus[Functional Centre],Surplus[TPBE]=INDEX(Table4[#Headers],SUM(COLUMN()-COLUMN(Table4[[#Headers],[Index]]),1))),Table4[[#This Row],[Index]])),"")</f>
        <v/>
      </c>
      <c r="AB16" t="str" cm="1">
        <f t="array" ref="AB16">IF(Table4[[#This Row],[Index]]&lt;=COUNTIFS(Surplus[TPBE],INDEX(Table4[#Headers],SUM(COLUMN()-COLUMN(Table4[[#Headers],[Index]]),1))),T(INDEX(_xlfn._xlws.FILTER(Surplus[Functional Centre],Surplus[TPBE]=INDEX(Table4[#Headers],SUM(COLUMN()-COLUMN(Table4[[#Headers],[Index]]),1))),Table4[[#This Row],[Index]])),"")</f>
        <v/>
      </c>
      <c r="AD16" t="s">
        <v>645</v>
      </c>
      <c r="AE16" s="20" t="s">
        <v>704</v>
      </c>
      <c r="AF16" s="20" t="s">
        <v>705</v>
      </c>
      <c r="AG16" t="s">
        <v>706</v>
      </c>
      <c r="AH16" t="str">
        <f>PROPER(Agencies[[#This Row],[HSP Name]])</f>
        <v>Caritas School Of Life</v>
      </c>
      <c r="AI16" t="s">
        <v>707</v>
      </c>
    </row>
    <row r="17" spans="1:35" x14ac:dyDescent="0.35">
      <c r="A17">
        <f>ROW()-ROW(TPBE[[#Headers],[Index]])</f>
        <v>14</v>
      </c>
      <c r="B17" t="s">
        <v>161</v>
      </c>
      <c r="C17" t="s">
        <v>32</v>
      </c>
      <c r="D17" t="s">
        <v>161</v>
      </c>
      <c r="E17" s="32">
        <f>MATCH(TPBE[[#This Row],[Group]],TPBE_Surplus[Sector],0)</f>
        <v>10</v>
      </c>
      <c r="F17" s="22">
        <f>SUMIFS(Surplus[Forecasted Surplus],Surplus[TPBE],TPBE[[#This Row],[TPBE]])</f>
        <v>0</v>
      </c>
      <c r="G17" s="22" t="b">
        <f>TPBE[[#This Row],[FC Surplus Amount]]&lt;&gt;0</f>
        <v>0</v>
      </c>
      <c r="H17" s="22" t="b">
        <f>SUMIFS(TPBE[FC Surplus Amount],TPBE[Group],TPBE[[#This Row],[Group]])&lt;&gt;0</f>
        <v>0</v>
      </c>
      <c r="I17" s="22" t="str" cm="1">
        <f t="array" ref="I17">IF(TPBE[[#This Row],[Index]]&gt;COUNTIFS(TPBE[Reallocation DD Check],TRUE),"",INDEX(_xlfn._xlws.FILTER(TPBE[TPBE],TPBE[Reallocation DD Check]),TPBE[[#This Row],[Index]]))</f>
        <v/>
      </c>
      <c r="J17" s="22" t="str" cm="1">
        <f t="array" ref="J17">IF(TPBE[[#This Row],[Index]]&gt;COUNTIFS(TPBE[Request DD Check],TRUE),"",INDEX(_xlfn._xlws.FILTER(TPBE[TPBE],TPBE[Request DD Check]),TPBE[[#This Row],[Index]]))</f>
        <v/>
      </c>
      <c r="M17">
        <f>ROW()-ROW(Table4[[#Headers],[Index]])</f>
        <v>14</v>
      </c>
      <c r="N17" t="str" cm="1">
        <f t="array" ref="N17">IF(Table4[[#This Row],[Index]]&lt;=COUNTIFS(Surplus[TPBE],INDEX(Table4[#Headers],SUM(COLUMN()-COLUMN(Table4[[#Headers],[Index]]),1))),T(INDEX(_xlfn._xlws.FILTER(Surplus[Functional Centre],Surplus[TPBE]=INDEX(Table4[#Headers],SUM(COLUMN()-COLUMN(Table4[[#Headers],[Index]]),1))),Table4[[#This Row],[Index]])),"")</f>
        <v/>
      </c>
      <c r="O17" t="str" cm="1">
        <f t="array" ref="O17">IF(Table4[[#This Row],[Index]]&lt;=COUNTIFS(Surplus[TPBE],INDEX(Table4[#Headers],SUM(COLUMN()-COLUMN(Table4[[#Headers],[Index]]),1))),T(INDEX(_xlfn._xlws.FILTER(Surplus[Functional Centre],Surplus[TPBE]=INDEX(Table4[#Headers],SUM(COLUMN()-COLUMN(Table4[[#Headers],[Index]]),1))),Table4[[#This Row],[Index]])),"")</f>
        <v/>
      </c>
      <c r="P17" t="str" cm="1">
        <f t="array" ref="P17">IF(Table4[[#This Row],[Index]]&lt;=COUNTIFS(Surplus[TPBE],INDEX(Table4[#Headers],SUM(COLUMN()-COLUMN(Table4[[#Headers],[Index]]),1))),T(INDEX(_xlfn._xlws.FILTER(Surplus[Functional Centre],Surplus[TPBE]=INDEX(Table4[#Headers],SUM(COLUMN()-COLUMN(Table4[[#Headers],[Index]]),1))),Table4[[#This Row],[Index]])),"")</f>
        <v/>
      </c>
      <c r="Q17" t="str" cm="1">
        <f t="array" ref="Q17">IF(Table4[[#This Row],[Index]]&lt;=COUNTIFS(Surplus[TPBE],INDEX(Table4[#Headers],SUM(COLUMN()-COLUMN(Table4[[#Headers],[Index]]),1))),T(INDEX(_xlfn._xlws.FILTER(Surplus[Functional Centre],Surplus[TPBE]=INDEX(Table4[#Headers],SUM(COLUMN()-COLUMN(Table4[[#Headers],[Index]]),1))),Table4[[#This Row],[Index]])),"")</f>
        <v/>
      </c>
      <c r="R17" t="str" cm="1">
        <f t="array" ref="R17">IF(Table4[[#This Row],[Index]]&lt;=COUNTIFS(Surplus[TPBE],INDEX(Table4[#Headers],SUM(COLUMN()-COLUMN(Table4[[#Headers],[Index]]),1))),T(INDEX(_xlfn._xlws.FILTER(Surplus[Functional Centre],Surplus[TPBE]=INDEX(Table4[#Headers],SUM(COLUMN()-COLUMN(Table4[[#Headers],[Index]]),1))),Table4[[#This Row],[Index]])),"")</f>
        <v/>
      </c>
      <c r="S17" t="str" cm="1">
        <f t="array" ref="S17">IF(Table4[[#This Row],[Index]]&lt;=COUNTIFS(Surplus[TPBE],INDEX(Table4[#Headers],SUM(COLUMN()-COLUMN(Table4[[#Headers],[Index]]),1))),T(INDEX(_xlfn._xlws.FILTER(Surplus[Functional Centre],Surplus[TPBE]=INDEX(Table4[#Headers],SUM(COLUMN()-COLUMN(Table4[[#Headers],[Index]]),1))),Table4[[#This Row],[Index]])),"")</f>
        <v/>
      </c>
      <c r="T17" t="str" cm="1">
        <f t="array" ref="T17">IF(Table4[[#This Row],[Index]]&lt;=COUNTIFS(Surplus[TPBE],INDEX(Table4[#Headers],SUM(COLUMN()-COLUMN(Table4[[#Headers],[Index]]),1))),T(INDEX(_xlfn._xlws.FILTER(Surplus[Functional Centre],Surplus[TPBE]=INDEX(Table4[#Headers],SUM(COLUMN()-COLUMN(Table4[[#Headers],[Index]]),1))),Table4[[#This Row],[Index]])),"")</f>
        <v/>
      </c>
      <c r="U17" t="str" cm="1">
        <f t="array" ref="U17">IF(Table4[[#This Row],[Index]]&lt;=COUNTIFS(Surplus[TPBE],INDEX(Table4[#Headers],SUM(COLUMN()-COLUMN(Table4[[#Headers],[Index]]),1))),T(INDEX(_xlfn._xlws.FILTER(Surplus[Functional Centre],Surplus[TPBE]=INDEX(Table4[#Headers],SUM(COLUMN()-COLUMN(Table4[[#Headers],[Index]]),1))),Table4[[#This Row],[Index]])),"")</f>
        <v/>
      </c>
      <c r="V17" t="str" cm="1">
        <f t="array" ref="V17">IF(Table4[[#This Row],[Index]]&lt;=COUNTIFS(Surplus[TPBE],INDEX(Table4[#Headers],SUM(COLUMN()-COLUMN(Table4[[#Headers],[Index]]),1))),T(INDEX(_xlfn._xlws.FILTER(Surplus[Functional Centre],Surplus[TPBE]=INDEX(Table4[#Headers],SUM(COLUMN()-COLUMN(Table4[[#Headers],[Index]]),1))),Table4[[#This Row],[Index]])),"")</f>
        <v/>
      </c>
      <c r="W17" t="str" cm="1">
        <f t="array" ref="W17">IF(Table4[[#This Row],[Index]]&lt;=COUNTIFS(Surplus[TPBE],INDEX(Table4[#Headers],SUM(COLUMN()-COLUMN(Table4[[#Headers],[Index]]),1))),T(INDEX(_xlfn._xlws.FILTER(Surplus[Functional Centre],Surplus[TPBE]=INDEX(Table4[#Headers],SUM(COLUMN()-COLUMN(Table4[[#Headers],[Index]]),1))),Table4[[#This Row],[Index]])),"")</f>
        <v/>
      </c>
      <c r="X17" t="str" cm="1">
        <f t="array" ref="X17">IF(Table4[[#This Row],[Index]]&lt;=COUNTIFS(Surplus[TPBE],INDEX(Table4[#Headers],SUM(COLUMN()-COLUMN(Table4[[#Headers],[Index]]),1))),T(INDEX(_xlfn._xlws.FILTER(Surplus[Functional Centre],Surplus[TPBE]=INDEX(Table4[#Headers],SUM(COLUMN()-COLUMN(Table4[[#Headers],[Index]]),1))),Table4[[#This Row],[Index]])),"")</f>
        <v/>
      </c>
      <c r="Y17" t="str" cm="1">
        <f t="array" ref="Y17">IF(Table4[[#This Row],[Index]]&lt;=COUNTIFS(Surplus[TPBE],INDEX(Table4[#Headers],SUM(COLUMN()-COLUMN(Table4[[#Headers],[Index]]),1))),T(INDEX(_xlfn._xlws.FILTER(Surplus[Functional Centre],Surplus[TPBE]=INDEX(Table4[#Headers],SUM(COLUMN()-COLUMN(Table4[[#Headers],[Index]]),1))),Table4[[#This Row],[Index]])),"")</f>
        <v/>
      </c>
      <c r="Z17" t="str" cm="1">
        <f t="array" ref="Z17">IF(Table4[[#This Row],[Index]]&lt;=COUNTIFS(Surplus[TPBE],INDEX(Table4[#Headers],SUM(COLUMN()-COLUMN(Table4[[#Headers],[Index]]),1))),T(INDEX(_xlfn._xlws.FILTER(Surplus[Functional Centre],Surplus[TPBE]=INDEX(Table4[#Headers],SUM(COLUMN()-COLUMN(Table4[[#Headers],[Index]]),1))),Table4[[#This Row],[Index]])),"")</f>
        <v/>
      </c>
      <c r="AA17" t="str" cm="1">
        <f t="array" ref="AA17">IF(Table4[[#This Row],[Index]]&lt;=COUNTIFS(Surplus[TPBE],INDEX(Table4[#Headers],SUM(COLUMN()-COLUMN(Table4[[#Headers],[Index]]),1))),T(INDEX(_xlfn._xlws.FILTER(Surplus[Functional Centre],Surplus[TPBE]=INDEX(Table4[#Headers],SUM(COLUMN()-COLUMN(Table4[[#Headers],[Index]]),1))),Table4[[#This Row],[Index]])),"")</f>
        <v/>
      </c>
      <c r="AB17" t="str" cm="1">
        <f t="array" ref="AB17">IF(Table4[[#This Row],[Index]]&lt;=COUNTIFS(Surplus[TPBE],INDEX(Table4[#Headers],SUM(COLUMN()-COLUMN(Table4[[#Headers],[Index]]),1))),T(INDEX(_xlfn._xlws.FILTER(Surplus[Functional Centre],Surplus[TPBE]=INDEX(Table4[#Headers],SUM(COLUMN()-COLUMN(Table4[[#Headers],[Index]]),1))),Table4[[#This Row],[Index]])),"")</f>
        <v/>
      </c>
      <c r="AD17" t="s">
        <v>645</v>
      </c>
      <c r="AE17" s="20" t="s">
        <v>708</v>
      </c>
      <c r="AF17" s="20" t="s">
        <v>709</v>
      </c>
      <c r="AG17" t="s">
        <v>710</v>
      </c>
      <c r="AH17" t="str">
        <f>PROPER(Agencies[[#This Row],[HSP Name]])</f>
        <v>Cedar Centre</v>
      </c>
      <c r="AI17" t="s">
        <v>711</v>
      </c>
    </row>
    <row r="18" spans="1:35" x14ac:dyDescent="0.35">
      <c r="A18">
        <f>ROW()-ROW(TPBE[[#Headers],[Index]])</f>
        <v>15</v>
      </c>
      <c r="B18" t="s">
        <v>162</v>
      </c>
      <c r="C18" t="s">
        <v>712</v>
      </c>
      <c r="D18" t="s">
        <v>162</v>
      </c>
      <c r="E18" s="32">
        <f>MATCH(TPBE[[#This Row],[Group]],TPBE_Surplus[Sector],0)</f>
        <v>11</v>
      </c>
      <c r="F18" s="22">
        <f>SUMIFS(Surplus[Forecasted Surplus],Surplus[TPBE],TPBE[[#This Row],[TPBE]])</f>
        <v>0</v>
      </c>
      <c r="G18" s="22" t="b">
        <f>TPBE[[#This Row],[FC Surplus Amount]]&lt;&gt;0</f>
        <v>0</v>
      </c>
      <c r="H18" s="22" t="b">
        <f>SUMIFS(TPBE[FC Surplus Amount],TPBE[Group],TPBE[[#This Row],[Group]])&lt;&gt;0</f>
        <v>0</v>
      </c>
      <c r="I18" s="22" t="str" cm="1">
        <f t="array" ref="I18">IF(TPBE[[#This Row],[Index]]&gt;COUNTIFS(TPBE[Reallocation DD Check],TRUE),"",INDEX(_xlfn._xlws.FILTER(TPBE[TPBE],TPBE[Reallocation DD Check]),TPBE[[#This Row],[Index]]))</f>
        <v/>
      </c>
      <c r="J18" s="22" t="str" cm="1">
        <f t="array" ref="J18">IF(TPBE[[#This Row],[Index]]&gt;COUNTIFS(TPBE[Request DD Check],TRUE),"",INDEX(_xlfn._xlws.FILTER(TPBE[TPBE],TPBE[Request DD Check]),TPBE[[#This Row],[Index]]))</f>
        <v/>
      </c>
      <c r="M18">
        <f>ROW()-ROW(Table4[[#Headers],[Index]])</f>
        <v>15</v>
      </c>
      <c r="N18" t="str" cm="1">
        <f t="array" ref="N18">IF(Table4[[#This Row],[Index]]&lt;=COUNTIFS(Surplus[TPBE],INDEX(Table4[#Headers],SUM(COLUMN()-COLUMN(Table4[[#Headers],[Index]]),1))),T(INDEX(_xlfn._xlws.FILTER(Surplus[Functional Centre],Surplus[TPBE]=INDEX(Table4[#Headers],SUM(COLUMN()-COLUMN(Table4[[#Headers],[Index]]),1))),Table4[[#This Row],[Index]])),"")</f>
        <v/>
      </c>
      <c r="O18" t="str" cm="1">
        <f t="array" ref="O18">IF(Table4[[#This Row],[Index]]&lt;=COUNTIFS(Surplus[TPBE],INDEX(Table4[#Headers],SUM(COLUMN()-COLUMN(Table4[[#Headers],[Index]]),1))),T(INDEX(_xlfn._xlws.FILTER(Surplus[Functional Centre],Surplus[TPBE]=INDEX(Table4[#Headers],SUM(COLUMN()-COLUMN(Table4[[#Headers],[Index]]),1))),Table4[[#This Row],[Index]])),"")</f>
        <v/>
      </c>
      <c r="P18" t="str" cm="1">
        <f t="array" ref="P18">IF(Table4[[#This Row],[Index]]&lt;=COUNTIFS(Surplus[TPBE],INDEX(Table4[#Headers],SUM(COLUMN()-COLUMN(Table4[[#Headers],[Index]]),1))),T(INDEX(_xlfn._xlws.FILTER(Surplus[Functional Centre],Surplus[TPBE]=INDEX(Table4[#Headers],SUM(COLUMN()-COLUMN(Table4[[#Headers],[Index]]),1))),Table4[[#This Row],[Index]])),"")</f>
        <v/>
      </c>
      <c r="Q18" t="str" cm="1">
        <f t="array" ref="Q18">IF(Table4[[#This Row],[Index]]&lt;=COUNTIFS(Surplus[TPBE],INDEX(Table4[#Headers],SUM(COLUMN()-COLUMN(Table4[[#Headers],[Index]]),1))),T(INDEX(_xlfn._xlws.FILTER(Surplus[Functional Centre],Surplus[TPBE]=INDEX(Table4[#Headers],SUM(COLUMN()-COLUMN(Table4[[#Headers],[Index]]),1))),Table4[[#This Row],[Index]])),"")</f>
        <v/>
      </c>
      <c r="R18" t="str" cm="1">
        <f t="array" ref="R18">IF(Table4[[#This Row],[Index]]&lt;=COUNTIFS(Surplus[TPBE],INDEX(Table4[#Headers],SUM(COLUMN()-COLUMN(Table4[[#Headers],[Index]]),1))),T(INDEX(_xlfn._xlws.FILTER(Surplus[Functional Centre],Surplus[TPBE]=INDEX(Table4[#Headers],SUM(COLUMN()-COLUMN(Table4[[#Headers],[Index]]),1))),Table4[[#This Row],[Index]])),"")</f>
        <v/>
      </c>
      <c r="S18" t="str" cm="1">
        <f t="array" ref="S18">IF(Table4[[#This Row],[Index]]&lt;=COUNTIFS(Surplus[TPBE],INDEX(Table4[#Headers],SUM(COLUMN()-COLUMN(Table4[[#Headers],[Index]]),1))),T(INDEX(_xlfn._xlws.FILTER(Surplus[Functional Centre],Surplus[TPBE]=INDEX(Table4[#Headers],SUM(COLUMN()-COLUMN(Table4[[#Headers],[Index]]),1))),Table4[[#This Row],[Index]])),"")</f>
        <v/>
      </c>
      <c r="T18" t="str" cm="1">
        <f t="array" ref="T18">IF(Table4[[#This Row],[Index]]&lt;=COUNTIFS(Surplus[TPBE],INDEX(Table4[#Headers],SUM(COLUMN()-COLUMN(Table4[[#Headers],[Index]]),1))),T(INDEX(_xlfn._xlws.FILTER(Surplus[Functional Centre],Surplus[TPBE]=INDEX(Table4[#Headers],SUM(COLUMN()-COLUMN(Table4[[#Headers],[Index]]),1))),Table4[[#This Row],[Index]])),"")</f>
        <v/>
      </c>
      <c r="U18" t="str" cm="1">
        <f t="array" ref="U18">IF(Table4[[#This Row],[Index]]&lt;=COUNTIFS(Surplus[TPBE],INDEX(Table4[#Headers],SUM(COLUMN()-COLUMN(Table4[[#Headers],[Index]]),1))),T(INDEX(_xlfn._xlws.FILTER(Surplus[Functional Centre],Surplus[TPBE]=INDEX(Table4[#Headers],SUM(COLUMN()-COLUMN(Table4[[#Headers],[Index]]),1))),Table4[[#This Row],[Index]])),"")</f>
        <v/>
      </c>
      <c r="V18" t="str" cm="1">
        <f t="array" ref="V18">IF(Table4[[#This Row],[Index]]&lt;=COUNTIFS(Surplus[TPBE],INDEX(Table4[#Headers],SUM(COLUMN()-COLUMN(Table4[[#Headers],[Index]]),1))),T(INDEX(_xlfn._xlws.FILTER(Surplus[Functional Centre],Surplus[TPBE]=INDEX(Table4[#Headers],SUM(COLUMN()-COLUMN(Table4[[#Headers],[Index]]),1))),Table4[[#This Row],[Index]])),"")</f>
        <v/>
      </c>
      <c r="W18" t="str" cm="1">
        <f t="array" ref="W18">IF(Table4[[#This Row],[Index]]&lt;=COUNTIFS(Surplus[TPBE],INDEX(Table4[#Headers],SUM(COLUMN()-COLUMN(Table4[[#Headers],[Index]]),1))),T(INDEX(_xlfn._xlws.FILTER(Surplus[Functional Centre],Surplus[TPBE]=INDEX(Table4[#Headers],SUM(COLUMN()-COLUMN(Table4[[#Headers],[Index]]),1))),Table4[[#This Row],[Index]])),"")</f>
        <v/>
      </c>
      <c r="X18" t="str" cm="1">
        <f t="array" ref="X18">IF(Table4[[#This Row],[Index]]&lt;=COUNTIFS(Surplus[TPBE],INDEX(Table4[#Headers],SUM(COLUMN()-COLUMN(Table4[[#Headers],[Index]]),1))),T(INDEX(_xlfn._xlws.FILTER(Surplus[Functional Centre],Surplus[TPBE]=INDEX(Table4[#Headers],SUM(COLUMN()-COLUMN(Table4[[#Headers],[Index]]),1))),Table4[[#This Row],[Index]])),"")</f>
        <v/>
      </c>
      <c r="Y18" t="str" cm="1">
        <f t="array" ref="Y18">IF(Table4[[#This Row],[Index]]&lt;=COUNTIFS(Surplus[TPBE],INDEX(Table4[#Headers],SUM(COLUMN()-COLUMN(Table4[[#Headers],[Index]]),1))),T(INDEX(_xlfn._xlws.FILTER(Surplus[Functional Centre],Surplus[TPBE]=INDEX(Table4[#Headers],SUM(COLUMN()-COLUMN(Table4[[#Headers],[Index]]),1))),Table4[[#This Row],[Index]])),"")</f>
        <v/>
      </c>
      <c r="Z18" t="str" cm="1">
        <f t="array" ref="Z18">IF(Table4[[#This Row],[Index]]&lt;=COUNTIFS(Surplus[TPBE],INDEX(Table4[#Headers],SUM(COLUMN()-COLUMN(Table4[[#Headers],[Index]]),1))),T(INDEX(_xlfn._xlws.FILTER(Surplus[Functional Centre],Surplus[TPBE]=INDEX(Table4[#Headers],SUM(COLUMN()-COLUMN(Table4[[#Headers],[Index]]),1))),Table4[[#This Row],[Index]])),"")</f>
        <v/>
      </c>
      <c r="AA18" t="str" cm="1">
        <f t="array" ref="AA18">IF(Table4[[#This Row],[Index]]&lt;=COUNTIFS(Surplus[TPBE],INDEX(Table4[#Headers],SUM(COLUMN()-COLUMN(Table4[[#Headers],[Index]]),1))),T(INDEX(_xlfn._xlws.FILTER(Surplus[Functional Centre],Surplus[TPBE]=INDEX(Table4[#Headers],SUM(COLUMN()-COLUMN(Table4[[#Headers],[Index]]),1))),Table4[[#This Row],[Index]])),"")</f>
        <v/>
      </c>
      <c r="AB18" t="str" cm="1">
        <f t="array" ref="AB18">IF(Table4[[#This Row],[Index]]&lt;=COUNTIFS(Surplus[TPBE],INDEX(Table4[#Headers],SUM(COLUMN()-COLUMN(Table4[[#Headers],[Index]]),1))),T(INDEX(_xlfn._xlws.FILTER(Surplus[Functional Centre],Surplus[TPBE]=INDEX(Table4[#Headers],SUM(COLUMN()-COLUMN(Table4[[#Headers],[Index]]),1))),Table4[[#This Row],[Index]])),"")</f>
        <v/>
      </c>
      <c r="AD18" t="s">
        <v>645</v>
      </c>
      <c r="AE18" s="20" t="s">
        <v>713</v>
      </c>
      <c r="AF18" s="20" t="s">
        <v>714</v>
      </c>
      <c r="AG18" t="s">
        <v>715</v>
      </c>
      <c r="AH18" t="str">
        <f>PROPER(Agencies[[#This Row],[HSP Name]])</f>
        <v>Cerebral Palsy Parent Council Of Toronto</v>
      </c>
      <c r="AI18" t="s">
        <v>716</v>
      </c>
    </row>
    <row r="19" spans="1:35" x14ac:dyDescent="0.35">
      <c r="A19" t="s">
        <v>163</v>
      </c>
      <c r="E19" s="32"/>
      <c r="F19" s="213">
        <f>SUBTOTAL(109,TPBE[FC Surplus Amount])</f>
        <v>0</v>
      </c>
      <c r="G19" s="213"/>
      <c r="H19" s="213"/>
      <c r="I19" s="213"/>
      <c r="J19" s="213"/>
      <c r="K19">
        <f>SUBTOTAL(103,TPBE[Restricted DD List])</f>
        <v>10</v>
      </c>
      <c r="AD19" t="s">
        <v>645</v>
      </c>
      <c r="AE19" s="20" t="s">
        <v>717</v>
      </c>
      <c r="AF19" s="20" t="s">
        <v>718</v>
      </c>
      <c r="AG19" t="s">
        <v>719</v>
      </c>
      <c r="AH19" t="str">
        <f>PROPER(Agencies[[#This Row],[HSP Name]])</f>
        <v>Chippewas Of Georgina Island</v>
      </c>
      <c r="AI19" t="s">
        <v>720</v>
      </c>
    </row>
    <row r="20" spans="1:35" x14ac:dyDescent="0.35">
      <c r="AD20" t="s">
        <v>645</v>
      </c>
      <c r="AE20" s="20" t="s">
        <v>721</v>
      </c>
      <c r="AF20" s="20" t="s">
        <v>722</v>
      </c>
      <c r="AG20" t="s">
        <v>723</v>
      </c>
      <c r="AH20" t="str">
        <f>PROPER(Agencies[[#This Row],[HSP Name]])</f>
        <v>Circle Of Home Care Services (Toronto)</v>
      </c>
      <c r="AI20" t="s">
        <v>724</v>
      </c>
    </row>
    <row r="21" spans="1:35" x14ac:dyDescent="0.35">
      <c r="AD21" t="s">
        <v>645</v>
      </c>
      <c r="AE21" s="20" t="s">
        <v>725</v>
      </c>
      <c r="AF21" s="20" t="s">
        <v>726</v>
      </c>
      <c r="AG21" t="s">
        <v>727</v>
      </c>
      <c r="AH21" t="str">
        <f>PROPER(Agencies[[#This Row],[HSP Name]])</f>
        <v>City Of Toronto</v>
      </c>
      <c r="AI21" t="s">
        <v>728</v>
      </c>
    </row>
    <row r="22" spans="1:35" x14ac:dyDescent="0.35">
      <c r="AD22" t="s">
        <v>645</v>
      </c>
      <c r="AE22" s="20" t="s">
        <v>729</v>
      </c>
      <c r="AF22" s="20" t="s">
        <v>730</v>
      </c>
      <c r="AG22" t="s">
        <v>731</v>
      </c>
      <c r="AH22" t="str">
        <f>PROPER(Agencies[[#This Row],[HSP Name]])</f>
        <v>Community Head Injury Resource Services Of Toronto</v>
      </c>
      <c r="AI22" t="s">
        <v>732</v>
      </c>
    </row>
    <row r="23" spans="1:35" x14ac:dyDescent="0.35">
      <c r="AD23" t="s">
        <v>645</v>
      </c>
      <c r="AE23" s="20" t="s">
        <v>733</v>
      </c>
      <c r="AF23" s="20" t="s">
        <v>734</v>
      </c>
      <c r="AG23" t="s">
        <v>735</v>
      </c>
      <c r="AH23" t="str">
        <f>PROPER(Agencies[[#This Row],[HSP Name]])</f>
        <v>Community Home Assistance To Seniors</v>
      </c>
      <c r="AI23" t="s">
        <v>736</v>
      </c>
    </row>
    <row r="24" spans="1:35" x14ac:dyDescent="0.35">
      <c r="AD24" t="s">
        <v>645</v>
      </c>
      <c r="AE24" s="20" t="s">
        <v>737</v>
      </c>
      <c r="AF24" s="20" t="s">
        <v>738</v>
      </c>
      <c r="AG24" t="s">
        <v>739</v>
      </c>
      <c r="AH24" t="str">
        <f>PROPER(Agencies[[#This Row],[HSP Name]])</f>
        <v>Cota Health</v>
      </c>
      <c r="AI24" t="s">
        <v>740</v>
      </c>
    </row>
    <row r="25" spans="1:35" x14ac:dyDescent="0.35">
      <c r="AD25" t="s">
        <v>645</v>
      </c>
      <c r="AE25" s="20" t="s">
        <v>741</v>
      </c>
      <c r="AF25" s="20" t="s">
        <v>742</v>
      </c>
      <c r="AG25" t="s">
        <v>743</v>
      </c>
      <c r="AH25" t="str">
        <f>PROPER(Agencies[[#This Row],[HSP Name]])</f>
        <v>Etobicoke Services For Seniors</v>
      </c>
      <c r="AI25" t="s">
        <v>744</v>
      </c>
    </row>
    <row r="26" spans="1:35" x14ac:dyDescent="0.35">
      <c r="AD26" t="s">
        <v>645</v>
      </c>
      <c r="AE26" s="20" t="s">
        <v>745</v>
      </c>
      <c r="AF26" s="20" t="s">
        <v>746</v>
      </c>
      <c r="AG26" t="s">
        <v>747</v>
      </c>
      <c r="AH26" t="str">
        <f>PROPER(Agencies[[#This Row],[HSP Name]])</f>
        <v>Hazel Burns Hospice</v>
      </c>
      <c r="AI26" t="s">
        <v>748</v>
      </c>
    </row>
    <row r="27" spans="1:35" x14ac:dyDescent="0.35">
      <c r="AD27" t="s">
        <v>645</v>
      </c>
      <c r="AE27" s="20" t="s">
        <v>749</v>
      </c>
      <c r="AF27" s="20" t="s">
        <v>750</v>
      </c>
      <c r="AG27" t="s">
        <v>751</v>
      </c>
      <c r="AH27" t="str">
        <f>PROPER(Agencies[[#This Row],[HSP Name]])</f>
        <v>Humber River Hospital</v>
      </c>
      <c r="AI27" t="s">
        <v>752</v>
      </c>
    </row>
    <row r="28" spans="1:35" x14ac:dyDescent="0.35">
      <c r="AD28" t="s">
        <v>645</v>
      </c>
      <c r="AE28" s="20" t="s">
        <v>753</v>
      </c>
      <c r="AF28" s="20" t="s">
        <v>754</v>
      </c>
      <c r="AG28" t="s">
        <v>755</v>
      </c>
      <c r="AH28" t="str">
        <f>PROPER(Agencies[[#This Row],[HSP Name]])</f>
        <v>Jane/Finch Community &amp; Family Centre</v>
      </c>
      <c r="AI28" t="s">
        <v>756</v>
      </c>
    </row>
    <row r="29" spans="1:35" x14ac:dyDescent="0.35">
      <c r="AD29" t="s">
        <v>645</v>
      </c>
      <c r="AE29" s="20" t="s">
        <v>757</v>
      </c>
      <c r="AF29" s="20" t="s">
        <v>758</v>
      </c>
      <c r="AG29" t="s">
        <v>759</v>
      </c>
      <c r="AH29" t="str">
        <f>PROPER(Agencies[[#This Row],[HSP Name]])</f>
        <v>Krasman Centre (The Lance Krasman Memorial Centre For Community Mental Health)</v>
      </c>
      <c r="AI29" t="s">
        <v>760</v>
      </c>
    </row>
    <row r="30" spans="1:35" x14ac:dyDescent="0.35">
      <c r="AD30" t="s">
        <v>645</v>
      </c>
      <c r="AE30" s="20">
        <v>323</v>
      </c>
      <c r="AF30" s="20" t="s">
        <v>761</v>
      </c>
      <c r="AG30" t="s">
        <v>762</v>
      </c>
      <c r="AH30" t="str">
        <f>PROPER(Agencies[[#This Row],[HSP Name]])</f>
        <v>Loft Community Services</v>
      </c>
      <c r="AI30" t="s">
        <v>763</v>
      </c>
    </row>
    <row r="31" spans="1:35" x14ac:dyDescent="0.35">
      <c r="AD31" t="s">
        <v>645</v>
      </c>
      <c r="AE31" s="20" t="s">
        <v>764</v>
      </c>
      <c r="AF31" s="20" t="s">
        <v>765</v>
      </c>
      <c r="AG31" t="s">
        <v>766</v>
      </c>
      <c r="AH31" t="str">
        <f>PROPER(Agencies[[#This Row],[HSP Name]])</f>
        <v>Lumacare Services</v>
      </c>
      <c r="AI31" t="s">
        <v>767</v>
      </c>
    </row>
    <row r="32" spans="1:35" x14ac:dyDescent="0.35">
      <c r="AD32" t="s">
        <v>645</v>
      </c>
      <c r="AE32" s="20" t="s">
        <v>768</v>
      </c>
      <c r="AF32" s="20" t="s">
        <v>769</v>
      </c>
      <c r="AG32" t="s">
        <v>770</v>
      </c>
      <c r="AH32" t="str">
        <f>PROPER(Agencies[[#This Row],[HSP Name]])</f>
        <v>Mackenzie Health</v>
      </c>
      <c r="AI32" t="s">
        <v>771</v>
      </c>
    </row>
    <row r="33" spans="30:35" x14ac:dyDescent="0.35">
      <c r="AD33" t="s">
        <v>645</v>
      </c>
      <c r="AE33" s="20" t="s">
        <v>772</v>
      </c>
      <c r="AF33" s="20" t="s">
        <v>773</v>
      </c>
      <c r="AG33" t="s">
        <v>774</v>
      </c>
      <c r="AH33" t="str">
        <f>PROPER(Agencies[[#This Row],[HSP Name]])</f>
        <v>March Of Dimes Canada</v>
      </c>
      <c r="AI33" t="s">
        <v>775</v>
      </c>
    </row>
    <row r="34" spans="30:35" x14ac:dyDescent="0.35">
      <c r="AD34" t="s">
        <v>645</v>
      </c>
      <c r="AE34" s="20" t="s">
        <v>776</v>
      </c>
      <c r="AF34" s="20" t="s">
        <v>777</v>
      </c>
      <c r="AG34" t="s">
        <v>778</v>
      </c>
      <c r="AH34" t="str">
        <f>PROPER(Agencies[[#This Row],[HSP Name]])</f>
        <v>New Unionville Home Society</v>
      </c>
      <c r="AI34" t="s">
        <v>779</v>
      </c>
    </row>
    <row r="35" spans="30:35" x14ac:dyDescent="0.35">
      <c r="AD35" t="s">
        <v>645</v>
      </c>
      <c r="AE35" s="20" t="s">
        <v>780</v>
      </c>
      <c r="AF35" s="20" t="s">
        <v>781</v>
      </c>
      <c r="AG35" t="s">
        <v>782</v>
      </c>
      <c r="AH35" t="str">
        <f>PROPER(Agencies[[#This Row],[HSP Name]])</f>
        <v>North York General Hospital</v>
      </c>
      <c r="AI35" t="s">
        <v>783</v>
      </c>
    </row>
    <row r="36" spans="30:35" x14ac:dyDescent="0.35">
      <c r="AD36" t="s">
        <v>645</v>
      </c>
      <c r="AE36" s="20" t="s">
        <v>784</v>
      </c>
      <c r="AF36" s="20" t="s">
        <v>785</v>
      </c>
      <c r="AG36" t="s">
        <v>786</v>
      </c>
      <c r="AH36" t="str">
        <f>PROPER(Agencies[[#This Row],[HSP Name]])</f>
        <v>North York Seniors Centre</v>
      </c>
      <c r="AI36" t="s">
        <v>787</v>
      </c>
    </row>
    <row r="37" spans="30:35" x14ac:dyDescent="0.35">
      <c r="AD37" t="s">
        <v>645</v>
      </c>
      <c r="AE37" s="20" t="s">
        <v>788</v>
      </c>
      <c r="AF37" s="20" t="s">
        <v>789</v>
      </c>
      <c r="AG37" t="s">
        <v>790</v>
      </c>
      <c r="AH37" t="str">
        <f>PROPER(Agencies[[#This Row],[HSP Name]])</f>
        <v>North Yorkers For Disabled Persons Inc</v>
      </c>
      <c r="AI37" t="s">
        <v>791</v>
      </c>
    </row>
    <row r="38" spans="30:35" x14ac:dyDescent="0.35">
      <c r="AD38" t="s">
        <v>645</v>
      </c>
      <c r="AE38" s="20" t="s">
        <v>792</v>
      </c>
      <c r="AF38" s="20" t="s">
        <v>793</v>
      </c>
      <c r="AG38" t="s">
        <v>794</v>
      </c>
      <c r="AH38" t="str">
        <f>PROPER(Agencies[[#This Row],[HSP Name]])</f>
        <v>Oak Valley Health</v>
      </c>
      <c r="AI38" t="s">
        <v>795</v>
      </c>
    </row>
    <row r="39" spans="30:35" x14ac:dyDescent="0.35">
      <c r="AD39" t="s">
        <v>645</v>
      </c>
      <c r="AE39" s="20" t="s">
        <v>796</v>
      </c>
      <c r="AF39" s="20" t="s">
        <v>797</v>
      </c>
      <c r="AG39" t="s">
        <v>798</v>
      </c>
      <c r="AH39" t="str">
        <f>PROPER(Agencies[[#This Row],[HSP Name]])</f>
        <v>Pace Independent Living</v>
      </c>
      <c r="AI39" t="s">
        <v>799</v>
      </c>
    </row>
    <row r="40" spans="30:35" x14ac:dyDescent="0.35">
      <c r="AD40" t="s">
        <v>645</v>
      </c>
      <c r="AE40" s="20" t="s">
        <v>800</v>
      </c>
      <c r="AF40" s="20" t="s">
        <v>801</v>
      </c>
      <c r="AG40" t="s">
        <v>802</v>
      </c>
      <c r="AH40" t="str">
        <f>PROPER(Agencies[[#This Row],[HSP Name]])</f>
        <v>Reena</v>
      </c>
      <c r="AI40" t="s">
        <v>802</v>
      </c>
    </row>
    <row r="41" spans="30:35" x14ac:dyDescent="0.35">
      <c r="AD41" t="s">
        <v>645</v>
      </c>
      <c r="AE41" s="20" t="s">
        <v>803</v>
      </c>
      <c r="AF41" s="20" t="s">
        <v>804</v>
      </c>
      <c r="AG41" t="s">
        <v>805</v>
      </c>
      <c r="AH41" t="str">
        <f>PROPER(Agencies[[#This Row],[HSP Name]])</f>
        <v>Regional Municipality Of York</v>
      </c>
      <c r="AI41" t="s">
        <v>806</v>
      </c>
    </row>
    <row r="42" spans="30:35" x14ac:dyDescent="0.35">
      <c r="AD42" t="s">
        <v>645</v>
      </c>
      <c r="AE42" s="20" t="s">
        <v>807</v>
      </c>
      <c r="AF42" s="20" t="s">
        <v>808</v>
      </c>
      <c r="AG42" t="s">
        <v>809</v>
      </c>
      <c r="AH42" t="str">
        <f>PROPER(Agencies[[#This Row],[HSP Name]])</f>
        <v>Southlake Regional Health Centre</v>
      </c>
      <c r="AI42" t="s">
        <v>810</v>
      </c>
    </row>
    <row r="43" spans="30:35" x14ac:dyDescent="0.35">
      <c r="AD43" t="s">
        <v>645</v>
      </c>
      <c r="AE43" s="20" t="s">
        <v>811</v>
      </c>
      <c r="AF43" s="20" t="s">
        <v>812</v>
      </c>
      <c r="AG43" t="s">
        <v>813</v>
      </c>
      <c r="AH43" t="str">
        <f>PROPER(Agencies[[#This Row],[HSP Name]])</f>
        <v>St Demetrius Supportive Care Services</v>
      </c>
      <c r="AI43" t="s">
        <v>814</v>
      </c>
    </row>
    <row r="44" spans="30:35" x14ac:dyDescent="0.35">
      <c r="AD44" t="s">
        <v>645</v>
      </c>
      <c r="AE44" s="20" t="s">
        <v>815</v>
      </c>
      <c r="AF44" s="20" t="s">
        <v>816</v>
      </c>
      <c r="AG44" t="s">
        <v>817</v>
      </c>
      <c r="AH44" t="str">
        <f>PROPER(Agencies[[#This Row],[HSP Name]])</f>
        <v>Stevenson Memorial Hospital</v>
      </c>
      <c r="AI44" t="s">
        <v>818</v>
      </c>
    </row>
    <row r="45" spans="30:35" x14ac:dyDescent="0.35">
      <c r="AD45" t="s">
        <v>645</v>
      </c>
      <c r="AE45" s="20" t="s">
        <v>819</v>
      </c>
      <c r="AF45" s="20" t="s">
        <v>820</v>
      </c>
      <c r="AG45" t="s">
        <v>821</v>
      </c>
      <c r="AH45" t="str">
        <f>PROPER(Agencies[[#This Row],[HSP Name]])</f>
        <v>Toronto North Support Services</v>
      </c>
      <c r="AI45" t="s">
        <v>822</v>
      </c>
    </row>
    <row r="46" spans="30:35" x14ac:dyDescent="0.35">
      <c r="AD46" t="s">
        <v>645</v>
      </c>
      <c r="AE46" s="20" t="s">
        <v>823</v>
      </c>
      <c r="AF46" s="20" t="s">
        <v>824</v>
      </c>
      <c r="AG46" t="s">
        <v>825</v>
      </c>
      <c r="AH46" t="str">
        <f>PROPER(Agencies[[#This Row],[HSP Name]])</f>
        <v>Vaughan Community Health Centre Corporation</v>
      </c>
      <c r="AI46" t="s">
        <v>826</v>
      </c>
    </row>
    <row r="47" spans="30:35" x14ac:dyDescent="0.35">
      <c r="AD47" t="s">
        <v>645</v>
      </c>
      <c r="AE47" s="20" t="s">
        <v>827</v>
      </c>
      <c r="AF47" s="20" t="s">
        <v>828</v>
      </c>
      <c r="AG47" t="s">
        <v>829</v>
      </c>
      <c r="AH47" t="str">
        <f>PROPER(Agencies[[#This Row],[HSP Name]])</f>
        <v>Villa Colombo Homes For The Aged</v>
      </c>
      <c r="AI47" t="s">
        <v>830</v>
      </c>
    </row>
    <row r="48" spans="30:35" x14ac:dyDescent="0.35">
      <c r="AD48" t="s">
        <v>645</v>
      </c>
      <c r="AE48" s="20" t="s">
        <v>831</v>
      </c>
      <c r="AF48" s="20" t="s">
        <v>832</v>
      </c>
      <c r="AG48" t="s">
        <v>833</v>
      </c>
      <c r="AH48" t="str">
        <f>PROPER(Agencies[[#This Row],[HSP Name]])</f>
        <v>Vitanova Foundation</v>
      </c>
      <c r="AI48" t="s">
        <v>834</v>
      </c>
    </row>
    <row r="49" spans="30:35" x14ac:dyDescent="0.35">
      <c r="AD49" t="s">
        <v>645</v>
      </c>
      <c r="AE49" s="20" t="s">
        <v>835</v>
      </c>
      <c r="AF49" s="20" t="s">
        <v>836</v>
      </c>
      <c r="AG49" t="s">
        <v>837</v>
      </c>
      <c r="AH49" t="str">
        <f>PROPER(Agencies[[#This Row],[HSP Name]])</f>
        <v>Yee Hong Centre For Geriatric Care</v>
      </c>
      <c r="AI49" t="s">
        <v>838</v>
      </c>
    </row>
    <row r="50" spans="30:35" x14ac:dyDescent="0.35">
      <c r="AD50" t="s">
        <v>645</v>
      </c>
      <c r="AE50" s="20" t="s">
        <v>839</v>
      </c>
      <c r="AF50" s="20" t="s">
        <v>840</v>
      </c>
      <c r="AG50" t="s">
        <v>841</v>
      </c>
      <c r="AH50" t="str">
        <f>PROPER(Agencies[[#This Row],[HSP Name]])</f>
        <v>Yor-Sup-Net Support Service Network</v>
      </c>
      <c r="AI50" t="s">
        <v>842</v>
      </c>
    </row>
    <row r="51" spans="30:35" x14ac:dyDescent="0.35">
      <c r="AD51" t="s">
        <v>843</v>
      </c>
      <c r="AE51" s="20" t="s">
        <v>844</v>
      </c>
      <c r="AF51" s="20" t="s">
        <v>845</v>
      </c>
      <c r="AG51" t="s">
        <v>846</v>
      </c>
      <c r="AH51" t="str">
        <f>PROPER(Agencies[[#This Row],[HSP Name]])</f>
        <v>Alzheimer Society Of Dufferin County</v>
      </c>
      <c r="AI51" t="s">
        <v>847</v>
      </c>
    </row>
    <row r="52" spans="30:35" x14ac:dyDescent="0.35">
      <c r="AD52" t="s">
        <v>843</v>
      </c>
      <c r="AE52" s="20" t="s">
        <v>848</v>
      </c>
      <c r="AF52" s="20" t="s">
        <v>849</v>
      </c>
      <c r="AG52" t="s">
        <v>850</v>
      </c>
      <c r="AH52" t="str">
        <f>PROPER(Agencies[[#This Row],[HSP Name]])</f>
        <v>Alzheimer Society Peel</v>
      </c>
      <c r="AI52" t="s">
        <v>851</v>
      </c>
    </row>
    <row r="53" spans="30:35" x14ac:dyDescent="0.35">
      <c r="AD53" t="s">
        <v>843</v>
      </c>
      <c r="AE53" s="20" t="s">
        <v>852</v>
      </c>
      <c r="AF53" s="20" t="s">
        <v>853</v>
      </c>
      <c r="AG53" t="s">
        <v>854</v>
      </c>
      <c r="AH53" t="str">
        <f>PROPER(Agencies[[#This Row],[HSP Name]])</f>
        <v>Bethell Hospice</v>
      </c>
      <c r="AI53" t="s">
        <v>855</v>
      </c>
    </row>
    <row r="54" spans="30:35" x14ac:dyDescent="0.35">
      <c r="AD54" t="s">
        <v>843</v>
      </c>
      <c r="AE54" s="20" t="s">
        <v>856</v>
      </c>
      <c r="AF54" s="20" t="s">
        <v>857</v>
      </c>
      <c r="AG54" t="s">
        <v>858</v>
      </c>
      <c r="AH54" t="str">
        <f>PROPER(Agencies[[#This Row],[HSP Name]])</f>
        <v>Brampton Meals On Wheels</v>
      </c>
      <c r="AI54" t="s">
        <v>859</v>
      </c>
    </row>
    <row r="55" spans="30:35" x14ac:dyDescent="0.35">
      <c r="AD55" t="s">
        <v>843</v>
      </c>
      <c r="AE55" s="20" t="s">
        <v>860</v>
      </c>
      <c r="AF55" s="20" t="s">
        <v>861</v>
      </c>
      <c r="AG55" t="s">
        <v>862</v>
      </c>
      <c r="AH55" t="str">
        <f>PROPER(Agencies[[#This Row],[HSP Name]])</f>
        <v>Caledon Community Services</v>
      </c>
      <c r="AI55" t="s">
        <v>863</v>
      </c>
    </row>
    <row r="56" spans="30:35" x14ac:dyDescent="0.35">
      <c r="AD56" t="s">
        <v>843</v>
      </c>
      <c r="AE56" s="20" t="s">
        <v>864</v>
      </c>
      <c r="AF56" s="20" t="s">
        <v>865</v>
      </c>
      <c r="AG56" t="s">
        <v>866</v>
      </c>
      <c r="AH56" t="str">
        <f>PROPER(Agencies[[#This Row],[HSP Name]])</f>
        <v>Caledon Meals On Wheels</v>
      </c>
      <c r="AI56" t="s">
        <v>867</v>
      </c>
    </row>
    <row r="57" spans="30:35" x14ac:dyDescent="0.35">
      <c r="AD57" t="s">
        <v>843</v>
      </c>
      <c r="AE57" s="20" t="s">
        <v>868</v>
      </c>
      <c r="AF57" s="20" t="s">
        <v>869</v>
      </c>
      <c r="AG57" t="s">
        <v>870</v>
      </c>
      <c r="AH57" t="str">
        <f>PROPER(Agencies[[#This Row],[HSP Name]])</f>
        <v>Canadian Mental Health Association - Peel Branch</v>
      </c>
      <c r="AI57" t="s">
        <v>871</v>
      </c>
    </row>
    <row r="58" spans="30:35" x14ac:dyDescent="0.35">
      <c r="AD58" t="s">
        <v>843</v>
      </c>
      <c r="AE58" s="20" t="s">
        <v>872</v>
      </c>
      <c r="AF58" s="20" t="s">
        <v>873</v>
      </c>
      <c r="AG58" t="s">
        <v>874</v>
      </c>
      <c r="AH58" t="str">
        <f>PROPER(Agencies[[#This Row],[HSP Name]])</f>
        <v>Canes Community Care</v>
      </c>
      <c r="AI58" t="s">
        <v>875</v>
      </c>
    </row>
    <row r="59" spans="30:35" x14ac:dyDescent="0.35">
      <c r="AD59" t="s">
        <v>843</v>
      </c>
      <c r="AE59" s="20" t="s">
        <v>876</v>
      </c>
      <c r="AF59" s="20" t="s">
        <v>877</v>
      </c>
      <c r="AG59" t="s">
        <v>878</v>
      </c>
      <c r="AH59" t="str">
        <f>PROPER(Agencies[[#This Row],[HSP Name]])</f>
        <v>County Of Dufferin</v>
      </c>
      <c r="AI59" t="s">
        <v>879</v>
      </c>
    </row>
    <row r="60" spans="30:35" x14ac:dyDescent="0.35">
      <c r="AD60" t="s">
        <v>843</v>
      </c>
      <c r="AE60" s="20" t="s">
        <v>880</v>
      </c>
      <c r="AF60" s="20" t="s">
        <v>881</v>
      </c>
      <c r="AG60" t="s">
        <v>882</v>
      </c>
      <c r="AH60" t="str">
        <f>PROPER(Agencies[[#This Row],[HSP Name]])</f>
        <v>Family Transition Place</v>
      </c>
      <c r="AI60" t="s">
        <v>883</v>
      </c>
    </row>
    <row r="61" spans="30:35" x14ac:dyDescent="0.35">
      <c r="AD61" t="s">
        <v>843</v>
      </c>
      <c r="AE61" s="20" t="s">
        <v>884</v>
      </c>
      <c r="AF61" s="20" t="s">
        <v>885</v>
      </c>
      <c r="AG61" t="s">
        <v>886</v>
      </c>
      <c r="AH61" t="str">
        <f>PROPER(Agencies[[#This Row],[HSP Name]])</f>
        <v>Friends &amp; Advocates-Peel</v>
      </c>
      <c r="AI61" t="s">
        <v>887</v>
      </c>
    </row>
    <row r="62" spans="30:35" x14ac:dyDescent="0.35">
      <c r="AD62" t="s">
        <v>843</v>
      </c>
      <c r="AE62" s="20" t="s">
        <v>888</v>
      </c>
      <c r="AF62" s="20" t="s">
        <v>889</v>
      </c>
      <c r="AG62" t="s">
        <v>890</v>
      </c>
      <c r="AH62" t="str">
        <f>PROPER(Agencies[[#This Row],[HSP Name]])</f>
        <v>Governing Council Of The Salvation Army In Canada</v>
      </c>
      <c r="AI62" t="s">
        <v>891</v>
      </c>
    </row>
    <row r="63" spans="30:35" x14ac:dyDescent="0.35">
      <c r="AD63" t="s">
        <v>843</v>
      </c>
      <c r="AE63" s="20" t="s">
        <v>892</v>
      </c>
      <c r="AF63" s="20" t="s">
        <v>893</v>
      </c>
      <c r="AG63" t="s">
        <v>894</v>
      </c>
      <c r="AH63" t="str">
        <f>PROPER(Agencies[[#This Row],[HSP Name]])</f>
        <v>Holland Christian Homes Inc</v>
      </c>
      <c r="AI63" t="s">
        <v>895</v>
      </c>
    </row>
    <row r="64" spans="30:35" x14ac:dyDescent="0.35">
      <c r="AD64" t="s">
        <v>843</v>
      </c>
      <c r="AE64" s="20" t="s">
        <v>896</v>
      </c>
      <c r="AF64" s="20" t="s">
        <v>897</v>
      </c>
      <c r="AG64" t="s">
        <v>898</v>
      </c>
      <c r="AH64" t="str">
        <f>PROPER(Agencies[[#This Row],[HSP Name]])</f>
        <v>Hospice Dufferin</v>
      </c>
      <c r="AI64" t="s">
        <v>898</v>
      </c>
    </row>
    <row r="65" spans="30:35" x14ac:dyDescent="0.35">
      <c r="AD65" t="s">
        <v>843</v>
      </c>
      <c r="AE65" s="20" t="s">
        <v>899</v>
      </c>
      <c r="AF65" s="20" t="s">
        <v>900</v>
      </c>
      <c r="AG65" t="s">
        <v>901</v>
      </c>
      <c r="AH65" t="str">
        <f>PROPER(Agencies[[#This Row],[HSP Name]])</f>
        <v>Indus Community Services</v>
      </c>
      <c r="AI65" t="s">
        <v>902</v>
      </c>
    </row>
    <row r="66" spans="30:35" x14ac:dyDescent="0.35">
      <c r="AD66" t="s">
        <v>843</v>
      </c>
      <c r="AE66" s="20" t="s">
        <v>903</v>
      </c>
      <c r="AF66" s="20" t="s">
        <v>904</v>
      </c>
      <c r="AG66" t="s">
        <v>905</v>
      </c>
      <c r="AH66" t="str">
        <f>PROPER(Agencies[[#This Row],[HSP Name]])</f>
        <v>Peel Cheshire Home (Brampton) Inc</v>
      </c>
      <c r="AI66" t="s">
        <v>906</v>
      </c>
    </row>
    <row r="67" spans="30:35" x14ac:dyDescent="0.35">
      <c r="AD67" t="s">
        <v>843</v>
      </c>
      <c r="AE67" s="20" t="s">
        <v>907</v>
      </c>
      <c r="AF67" s="20" t="s">
        <v>908</v>
      </c>
      <c r="AG67" t="s">
        <v>909</v>
      </c>
      <c r="AH67" t="str">
        <f>PROPER(Agencies[[#This Row],[HSP Name]])</f>
        <v>Peel Senior Link</v>
      </c>
      <c r="AI67" t="s">
        <v>910</v>
      </c>
    </row>
    <row r="68" spans="30:35" x14ac:dyDescent="0.35">
      <c r="AD68" t="s">
        <v>843</v>
      </c>
      <c r="AE68" s="20" t="s">
        <v>911</v>
      </c>
      <c r="AF68" s="20" t="s">
        <v>912</v>
      </c>
      <c r="AG68" t="s">
        <v>913</v>
      </c>
      <c r="AH68" t="str">
        <f>PROPER(Agencies[[#This Row],[HSP Name]])</f>
        <v>Punjabi Community Health Services</v>
      </c>
      <c r="AI68" t="s">
        <v>914</v>
      </c>
    </row>
    <row r="69" spans="30:35" x14ac:dyDescent="0.35">
      <c r="AD69" t="s">
        <v>843</v>
      </c>
      <c r="AE69" s="20" t="s">
        <v>915</v>
      </c>
      <c r="AF69" s="20" t="s">
        <v>916</v>
      </c>
      <c r="AG69" t="s">
        <v>917</v>
      </c>
      <c r="AH69" t="str">
        <f>PROPER(Agencies[[#This Row],[HSP Name]])</f>
        <v>Regional Municipality Of Peel</v>
      </c>
      <c r="AI69" t="s">
        <v>918</v>
      </c>
    </row>
    <row r="70" spans="30:35" x14ac:dyDescent="0.35">
      <c r="AD70" t="s">
        <v>843</v>
      </c>
      <c r="AE70" s="20" t="s">
        <v>919</v>
      </c>
      <c r="AF70" s="20" t="s">
        <v>920</v>
      </c>
      <c r="AG70" t="s">
        <v>921</v>
      </c>
      <c r="AH70" t="str">
        <f>PROPER(Agencies[[#This Row],[HSP Name]])</f>
        <v>Rexdale Community Health Centre</v>
      </c>
      <c r="AI70" t="s">
        <v>922</v>
      </c>
    </row>
    <row r="71" spans="30:35" x14ac:dyDescent="0.35">
      <c r="AD71" t="s">
        <v>843</v>
      </c>
      <c r="AE71" s="20" t="s">
        <v>923</v>
      </c>
      <c r="AF71" s="20" t="s">
        <v>924</v>
      </c>
      <c r="AG71" t="s">
        <v>925</v>
      </c>
      <c r="AH71" t="str">
        <f>PROPER(Agencies[[#This Row],[HSP Name]])</f>
        <v>Richview Community Care Services Corporation</v>
      </c>
      <c r="AI71" t="s">
        <v>926</v>
      </c>
    </row>
    <row r="72" spans="30:35" x14ac:dyDescent="0.35">
      <c r="AD72" t="s">
        <v>843</v>
      </c>
      <c r="AE72" s="20" t="s">
        <v>927</v>
      </c>
      <c r="AF72" s="20" t="s">
        <v>928</v>
      </c>
      <c r="AG72" t="s">
        <v>929</v>
      </c>
      <c r="AH72" t="str">
        <f>PROPER(Agencies[[#This Row],[HSP Name]])</f>
        <v>Roots Community Services Inc</v>
      </c>
      <c r="AI72" t="s">
        <v>930</v>
      </c>
    </row>
    <row r="73" spans="30:35" x14ac:dyDescent="0.35">
      <c r="AD73" t="s">
        <v>843</v>
      </c>
      <c r="AE73" s="20" t="s">
        <v>931</v>
      </c>
      <c r="AF73" s="20" t="s">
        <v>932</v>
      </c>
      <c r="AG73" t="s">
        <v>933</v>
      </c>
      <c r="AH73" t="str">
        <f>PROPER(Agencies[[#This Row],[HSP Name]])</f>
        <v>Services And Housing In The Province</v>
      </c>
      <c r="AI73" t="s">
        <v>934</v>
      </c>
    </row>
    <row r="74" spans="30:35" x14ac:dyDescent="0.35">
      <c r="AD74" t="s">
        <v>843</v>
      </c>
      <c r="AE74" s="20" t="s">
        <v>935</v>
      </c>
      <c r="AF74" s="20" t="s">
        <v>936</v>
      </c>
      <c r="AG74" t="s">
        <v>937</v>
      </c>
      <c r="AH74" t="str">
        <f>PROPER(Agencies[[#This Row],[HSP Name]])</f>
        <v>Wellfort Community Health Services</v>
      </c>
      <c r="AI74" t="s">
        <v>938</v>
      </c>
    </row>
    <row r="75" spans="30:35" x14ac:dyDescent="0.35">
      <c r="AD75" t="s">
        <v>843</v>
      </c>
      <c r="AE75" s="20" t="s">
        <v>939</v>
      </c>
      <c r="AF75" s="20" t="s">
        <v>940</v>
      </c>
      <c r="AG75" t="s">
        <v>941</v>
      </c>
      <c r="AH75" t="str">
        <f>PROPER(Agencies[[#This Row],[HSP Name]])</f>
        <v>William Osler Health System</v>
      </c>
      <c r="AI75" t="s">
        <v>942</v>
      </c>
    </row>
    <row r="76" spans="30:35" x14ac:dyDescent="0.35">
      <c r="AD76" t="s">
        <v>943</v>
      </c>
      <c r="AE76" s="20" t="s">
        <v>944</v>
      </c>
      <c r="AF76" s="20" t="s">
        <v>945</v>
      </c>
      <c r="AG76" t="s">
        <v>946</v>
      </c>
      <c r="AH76" t="str">
        <f>PROPER(Agencies[[#This Row],[HSP Name]])</f>
        <v>Acclaim Health And Community Care Services</v>
      </c>
      <c r="AI76" t="s">
        <v>947</v>
      </c>
    </row>
    <row r="77" spans="30:35" x14ac:dyDescent="0.35">
      <c r="AD77" t="s">
        <v>943</v>
      </c>
      <c r="AE77" s="20" t="s">
        <v>848</v>
      </c>
      <c r="AF77" s="20" t="s">
        <v>849</v>
      </c>
      <c r="AG77" t="s">
        <v>850</v>
      </c>
      <c r="AH77" t="str">
        <f>PROPER(Agencies[[#This Row],[HSP Name]])</f>
        <v>Alzheimer Society Peel</v>
      </c>
      <c r="AI77" t="s">
        <v>851</v>
      </c>
    </row>
    <row r="78" spans="30:35" x14ac:dyDescent="0.35">
      <c r="AD78" t="s">
        <v>943</v>
      </c>
      <c r="AE78" s="20" t="s">
        <v>948</v>
      </c>
      <c r="AF78" s="20" t="s">
        <v>688</v>
      </c>
      <c r="AG78" t="s">
        <v>689</v>
      </c>
      <c r="AH78" t="str">
        <f>PROPER(Agencies[[#This Row],[HSP Name]])</f>
        <v>Canadian Hearing Services Services Canadiens De L'Ouie</v>
      </c>
      <c r="AI78" t="s">
        <v>690</v>
      </c>
    </row>
    <row r="79" spans="30:35" x14ac:dyDescent="0.35">
      <c r="AD79" t="s">
        <v>943</v>
      </c>
      <c r="AE79" s="20" t="s">
        <v>949</v>
      </c>
      <c r="AF79" s="20" t="s">
        <v>950</v>
      </c>
      <c r="AG79" t="s">
        <v>951</v>
      </c>
      <c r="AH79" t="str">
        <f>PROPER(Agencies[[#This Row],[HSP Name]])</f>
        <v>Canadian Mental Health Association - Halton Branch</v>
      </c>
      <c r="AI79" t="s">
        <v>952</v>
      </c>
    </row>
    <row r="80" spans="30:35" x14ac:dyDescent="0.35">
      <c r="AD80" t="s">
        <v>943</v>
      </c>
      <c r="AE80" s="20" t="s">
        <v>872</v>
      </c>
      <c r="AF80" s="20" t="s">
        <v>873</v>
      </c>
      <c r="AG80" t="s">
        <v>874</v>
      </c>
      <c r="AH80" t="str">
        <f>PROPER(Agencies[[#This Row],[HSP Name]])</f>
        <v>Canes Community Care</v>
      </c>
      <c r="AI80" t="s">
        <v>953</v>
      </c>
    </row>
    <row r="81" spans="30:35" x14ac:dyDescent="0.35">
      <c r="AD81" t="s">
        <v>943</v>
      </c>
      <c r="AE81" s="20" t="s">
        <v>954</v>
      </c>
      <c r="AF81" s="20" t="s">
        <v>955</v>
      </c>
      <c r="AG81" t="s">
        <v>956</v>
      </c>
      <c r="AH81" t="str">
        <f>PROPER(Agencies[[#This Row],[HSP Name]])</f>
        <v>City Of Mississauga</v>
      </c>
      <c r="AI81" t="s">
        <v>957</v>
      </c>
    </row>
    <row r="82" spans="30:35" x14ac:dyDescent="0.35">
      <c r="AD82" t="s">
        <v>943</v>
      </c>
      <c r="AE82" s="20" t="s">
        <v>958</v>
      </c>
      <c r="AF82" s="20" t="s">
        <v>726</v>
      </c>
      <c r="AG82" t="s">
        <v>727</v>
      </c>
      <c r="AH82" t="str">
        <f>PROPER(Agencies[[#This Row],[HSP Name]])</f>
        <v>City Of Toronto</v>
      </c>
      <c r="AI82" t="s">
        <v>728</v>
      </c>
    </row>
    <row r="83" spans="30:35" x14ac:dyDescent="0.35">
      <c r="AD83" t="s">
        <v>943</v>
      </c>
      <c r="AE83" s="20" t="s">
        <v>959</v>
      </c>
      <c r="AF83" s="20" t="s">
        <v>960</v>
      </c>
      <c r="AG83" t="s">
        <v>961</v>
      </c>
      <c r="AH83" t="str">
        <f>PROPER(Agencies[[#This Row],[HSP Name]])</f>
        <v>Dixie Bloor Neighbourhood Drop-In Centre</v>
      </c>
      <c r="AI83" t="s">
        <v>962</v>
      </c>
    </row>
    <row r="84" spans="30:35" x14ac:dyDescent="0.35">
      <c r="AD84" t="s">
        <v>943</v>
      </c>
      <c r="AE84" s="20" t="s">
        <v>963</v>
      </c>
      <c r="AF84" s="20" t="s">
        <v>964</v>
      </c>
      <c r="AG84" t="s">
        <v>965</v>
      </c>
      <c r="AH84" t="str">
        <f>PROPER(Agencies[[#This Row],[HSP Name]])</f>
        <v>Dorothy Ley Hospice Inc</v>
      </c>
      <c r="AI84" t="s">
        <v>966</v>
      </c>
    </row>
    <row r="85" spans="30:35" x14ac:dyDescent="0.35">
      <c r="AD85" t="s">
        <v>943</v>
      </c>
      <c r="AE85" s="20" t="s">
        <v>967</v>
      </c>
      <c r="AF85" s="20" t="s">
        <v>968</v>
      </c>
      <c r="AG85" t="s">
        <v>969</v>
      </c>
      <c r="AH85" t="str">
        <f>PROPER(Agencies[[#This Row],[HSP Name]])</f>
        <v>Halton Alcohol Drug &amp; Gambling Assessment Prevention Treatment - Adapt</v>
      </c>
      <c r="AI85" t="s">
        <v>970</v>
      </c>
    </row>
    <row r="86" spans="30:35" x14ac:dyDescent="0.35">
      <c r="AD86" t="s">
        <v>943</v>
      </c>
      <c r="AE86" s="20" t="s">
        <v>971</v>
      </c>
      <c r="AF86" s="20" t="s">
        <v>972</v>
      </c>
      <c r="AG86" t="s">
        <v>973</v>
      </c>
      <c r="AH86" t="str">
        <f>PROPER(Agencies[[#This Row],[HSP Name]])</f>
        <v>Halton Healthcare Services Corp</v>
      </c>
      <c r="AI86" t="s">
        <v>974</v>
      </c>
    </row>
    <row r="87" spans="30:35" x14ac:dyDescent="0.35">
      <c r="AD87" t="s">
        <v>943</v>
      </c>
      <c r="AE87" s="20" t="s">
        <v>975</v>
      </c>
      <c r="AF87" s="20" t="s">
        <v>976</v>
      </c>
      <c r="AG87" t="s">
        <v>977</v>
      </c>
      <c r="AH87" t="str">
        <f>PROPER(Agencies[[#This Row],[HSP Name]])</f>
        <v>Hearthouse Hospice Inc</v>
      </c>
      <c r="AI87" t="s">
        <v>978</v>
      </c>
    </row>
    <row r="88" spans="30:35" x14ac:dyDescent="0.35">
      <c r="AD88" t="s">
        <v>943</v>
      </c>
      <c r="AE88" s="20" t="s">
        <v>979</v>
      </c>
      <c r="AF88" s="20" t="s">
        <v>980</v>
      </c>
      <c r="AG88" t="s">
        <v>981</v>
      </c>
      <c r="AH88" t="str">
        <f>PROPER(Agencies[[#This Row],[HSP Name]])</f>
        <v>Hope Place Centres</v>
      </c>
      <c r="AI88" t="s">
        <v>982</v>
      </c>
    </row>
    <row r="89" spans="30:35" x14ac:dyDescent="0.35">
      <c r="AD89" t="s">
        <v>943</v>
      </c>
      <c r="AE89" s="20" t="s">
        <v>899</v>
      </c>
      <c r="AF89" s="20" t="s">
        <v>900</v>
      </c>
      <c r="AG89" t="s">
        <v>901</v>
      </c>
      <c r="AH89" t="str">
        <f>PROPER(Agencies[[#This Row],[HSP Name]])</f>
        <v>Indus Community Services</v>
      </c>
      <c r="AI89" t="s">
        <v>902</v>
      </c>
    </row>
    <row r="90" spans="30:35" x14ac:dyDescent="0.35">
      <c r="AD90" t="s">
        <v>943</v>
      </c>
      <c r="AE90" s="20" t="s">
        <v>983</v>
      </c>
      <c r="AF90" s="20" t="s">
        <v>984</v>
      </c>
      <c r="AG90" t="s">
        <v>985</v>
      </c>
      <c r="AH90" t="str">
        <f>PROPER(Agencies[[#This Row],[HSP Name]])</f>
        <v>Ivan Franko Homes</v>
      </c>
      <c r="AI90" t="s">
        <v>986</v>
      </c>
    </row>
    <row r="91" spans="30:35" x14ac:dyDescent="0.35">
      <c r="AD91" t="s">
        <v>943</v>
      </c>
      <c r="AE91" s="20" t="s">
        <v>987</v>
      </c>
      <c r="AF91" s="20" t="s">
        <v>988</v>
      </c>
      <c r="AG91" t="s">
        <v>989</v>
      </c>
      <c r="AH91" t="str">
        <f>PROPER(Agencies[[#This Row],[HSP Name]])</f>
        <v>Joyce Scott Non-Profit Homes Inc</v>
      </c>
      <c r="AI91" t="s">
        <v>990</v>
      </c>
    </row>
    <row r="92" spans="30:35" x14ac:dyDescent="0.35">
      <c r="AD92" t="s">
        <v>943</v>
      </c>
      <c r="AE92" s="20">
        <v>302</v>
      </c>
      <c r="AF92" s="20" t="s">
        <v>991</v>
      </c>
      <c r="AG92" t="s">
        <v>992</v>
      </c>
      <c r="AH92" t="str">
        <f>PROPER(Agencies[[#This Row],[HSP Name]])</f>
        <v>Lakeshore Area Multi-Services Project Inc (Lamp)</v>
      </c>
      <c r="AI92" t="s">
        <v>993</v>
      </c>
    </row>
    <row r="93" spans="30:35" x14ac:dyDescent="0.35">
      <c r="AD93" t="s">
        <v>943</v>
      </c>
      <c r="AE93" s="20" t="s">
        <v>994</v>
      </c>
      <c r="AF93" s="20" t="s">
        <v>995</v>
      </c>
      <c r="AG93" t="s">
        <v>996</v>
      </c>
      <c r="AH93" t="str">
        <f>PROPER(Agencies[[#This Row],[HSP Name]])</f>
        <v>Links2Care</v>
      </c>
      <c r="AI93" t="s">
        <v>997</v>
      </c>
    </row>
    <row r="94" spans="30:35" x14ac:dyDescent="0.35">
      <c r="AD94" t="s">
        <v>943</v>
      </c>
      <c r="AE94" s="20" t="s">
        <v>998</v>
      </c>
      <c r="AF94" s="20" t="s">
        <v>773</v>
      </c>
      <c r="AG94" t="s">
        <v>774</v>
      </c>
      <c r="AH94" t="str">
        <f>PROPER(Agencies[[#This Row],[HSP Name]])</f>
        <v>March Of Dimes Canada</v>
      </c>
      <c r="AI94" t="s">
        <v>775</v>
      </c>
    </row>
    <row r="95" spans="30:35" x14ac:dyDescent="0.35">
      <c r="AD95" t="s">
        <v>943</v>
      </c>
      <c r="AE95" s="20" t="s">
        <v>999</v>
      </c>
      <c r="AF95" s="20" t="s">
        <v>1000</v>
      </c>
      <c r="AG95" t="s">
        <v>1001</v>
      </c>
      <c r="AH95" t="str">
        <f>PROPER(Agencies[[#This Row],[HSP Name]])</f>
        <v>Micba Forum Italia Community Services</v>
      </c>
      <c r="AI95" t="s">
        <v>1002</v>
      </c>
    </row>
    <row r="96" spans="30:35" x14ac:dyDescent="0.35">
      <c r="AD96" t="s">
        <v>943</v>
      </c>
      <c r="AE96" s="20" t="s">
        <v>1003</v>
      </c>
      <c r="AF96" s="20" t="s">
        <v>1004</v>
      </c>
      <c r="AG96" t="s">
        <v>1005</v>
      </c>
      <c r="AH96" t="str">
        <f>PROPER(Agencies[[#This Row],[HSP Name]])</f>
        <v>Milton Meals On Wheels</v>
      </c>
      <c r="AI96" t="s">
        <v>1006</v>
      </c>
    </row>
    <row r="97" spans="30:35" x14ac:dyDescent="0.35">
      <c r="AD97" t="s">
        <v>943</v>
      </c>
      <c r="AE97" s="20" t="s">
        <v>1007</v>
      </c>
      <c r="AF97" s="20" t="s">
        <v>1008</v>
      </c>
      <c r="AG97" t="s">
        <v>1009</v>
      </c>
      <c r="AH97" t="str">
        <f>PROPER(Agencies[[#This Row],[HSP Name]])</f>
        <v>Mind Forward Brain Injury Services Ontario</v>
      </c>
      <c r="AI97" t="s">
        <v>1010</v>
      </c>
    </row>
    <row r="98" spans="30:35" x14ac:dyDescent="0.35">
      <c r="AD98" t="s">
        <v>943</v>
      </c>
      <c r="AE98" s="20" t="s">
        <v>1011</v>
      </c>
      <c r="AF98" s="20" t="s">
        <v>1012</v>
      </c>
      <c r="AG98" t="s">
        <v>1013</v>
      </c>
      <c r="AH98" t="str">
        <f>PROPER(Agencies[[#This Row],[HSP Name]])</f>
        <v>Mississauga Integrated Care Centre</v>
      </c>
      <c r="AI98" t="s">
        <v>1014</v>
      </c>
    </row>
    <row r="99" spans="30:35" x14ac:dyDescent="0.35">
      <c r="AD99" t="s">
        <v>943</v>
      </c>
      <c r="AE99" s="20" t="s">
        <v>1015</v>
      </c>
      <c r="AF99" s="20" t="s">
        <v>1016</v>
      </c>
      <c r="AG99" t="s">
        <v>1017</v>
      </c>
      <c r="AH99" t="str">
        <f>PROPER(Agencies[[#This Row],[HSP Name]])</f>
        <v>Nucleus Independent Living</v>
      </c>
      <c r="AI99" t="s">
        <v>1018</v>
      </c>
    </row>
    <row r="100" spans="30:35" x14ac:dyDescent="0.35">
      <c r="AD100" t="s">
        <v>943</v>
      </c>
      <c r="AE100" s="20" t="s">
        <v>1019</v>
      </c>
      <c r="AF100" s="20" t="s">
        <v>1020</v>
      </c>
      <c r="AG100" t="s">
        <v>1021</v>
      </c>
      <c r="AH100" t="str">
        <f>PROPER(Agencies[[#This Row],[HSP Name]])</f>
        <v>Oakville Senior Citizens Residence</v>
      </c>
      <c r="AI100" t="s">
        <v>1022</v>
      </c>
    </row>
    <row r="101" spans="30:35" x14ac:dyDescent="0.35">
      <c r="AD101" t="s">
        <v>943</v>
      </c>
      <c r="AE101" s="20" t="s">
        <v>1023</v>
      </c>
      <c r="AF101" s="20" t="s">
        <v>1024</v>
      </c>
      <c r="AG101" t="s">
        <v>1025</v>
      </c>
      <c r="AH101" t="str">
        <f>PROPER(Agencies[[#This Row],[HSP Name]])</f>
        <v>Peel Addiction Assessment &amp; Referral Centre (Paarc)</v>
      </c>
      <c r="AI101" t="s">
        <v>1026</v>
      </c>
    </row>
    <row r="102" spans="30:35" x14ac:dyDescent="0.35">
      <c r="AD102" t="s">
        <v>943</v>
      </c>
      <c r="AE102" s="20" t="s">
        <v>1027</v>
      </c>
      <c r="AF102" s="20" t="s">
        <v>1028</v>
      </c>
      <c r="AG102" t="s">
        <v>1029</v>
      </c>
      <c r="AH102" t="str">
        <f>PROPER(Agencies[[#This Row],[HSP Name]])</f>
        <v>Peel Cheshire Homes Inc</v>
      </c>
      <c r="AI102" t="s">
        <v>1030</v>
      </c>
    </row>
    <row r="103" spans="30:35" x14ac:dyDescent="0.35">
      <c r="AD103" t="s">
        <v>943</v>
      </c>
      <c r="AE103" s="20" t="s">
        <v>907</v>
      </c>
      <c r="AF103" s="20" t="s">
        <v>908</v>
      </c>
      <c r="AG103" t="s">
        <v>909</v>
      </c>
      <c r="AH103" t="str">
        <f>PROPER(Agencies[[#This Row],[HSP Name]])</f>
        <v>Peel Senior Link</v>
      </c>
      <c r="AI103" t="s">
        <v>1031</v>
      </c>
    </row>
    <row r="104" spans="30:35" x14ac:dyDescent="0.35">
      <c r="AD104" t="s">
        <v>943</v>
      </c>
      <c r="AE104" s="20" t="s">
        <v>1032</v>
      </c>
      <c r="AF104" s="20" t="s">
        <v>1033</v>
      </c>
      <c r="AG104" t="s">
        <v>1034</v>
      </c>
      <c r="AH104" t="str">
        <f>PROPER(Agencies[[#This Row],[HSP Name]])</f>
        <v>Regional Municipality Of Halton</v>
      </c>
      <c r="AI104" t="s">
        <v>1035</v>
      </c>
    </row>
    <row r="105" spans="30:35" x14ac:dyDescent="0.35">
      <c r="AD105" t="s">
        <v>943</v>
      </c>
      <c r="AE105" s="20" t="s">
        <v>1036</v>
      </c>
      <c r="AF105" s="20" t="s">
        <v>1037</v>
      </c>
      <c r="AG105" t="s">
        <v>1038</v>
      </c>
      <c r="AH105" t="str">
        <f>PROPER(Agencies[[#This Row],[HSP Name]])</f>
        <v>Seniors Life Enhancement Centres</v>
      </c>
      <c r="AI105" t="s">
        <v>1039</v>
      </c>
    </row>
    <row r="106" spans="30:35" x14ac:dyDescent="0.35">
      <c r="AD106" t="s">
        <v>943</v>
      </c>
      <c r="AE106" s="20" t="s">
        <v>1040</v>
      </c>
      <c r="AF106" s="20" t="s">
        <v>1041</v>
      </c>
      <c r="AG106" t="s">
        <v>1042</v>
      </c>
      <c r="AH106" t="str">
        <f>PROPER(Agencies[[#This Row],[HSP Name]])</f>
        <v>Summit Housing &amp; Outreach Programs</v>
      </c>
      <c r="AI106" t="s">
        <v>1043</v>
      </c>
    </row>
    <row r="107" spans="30:35" x14ac:dyDescent="0.35">
      <c r="AD107" t="s">
        <v>943</v>
      </c>
      <c r="AE107" s="20" t="s">
        <v>1044</v>
      </c>
      <c r="AF107" s="20" t="s">
        <v>1045</v>
      </c>
      <c r="AG107" t="s">
        <v>1046</v>
      </c>
      <c r="AH107" t="str">
        <f>PROPER(Agencies[[#This Row],[HSP Name]])</f>
        <v>Support &amp; Housing - Halton</v>
      </c>
      <c r="AI107" t="s">
        <v>1047</v>
      </c>
    </row>
    <row r="108" spans="30:35" x14ac:dyDescent="0.35">
      <c r="AD108" t="s">
        <v>943</v>
      </c>
      <c r="AE108" s="20" t="s">
        <v>1048</v>
      </c>
      <c r="AF108" s="20" t="s">
        <v>1049</v>
      </c>
      <c r="AG108" t="s">
        <v>1050</v>
      </c>
      <c r="AH108" t="str">
        <f>PROPER(Agencies[[#This Row],[HSP Name]])</f>
        <v>Supported Training &amp; Rehabilitation In Diverse Environments (Stride)</v>
      </c>
      <c r="AI108" t="s">
        <v>1051</v>
      </c>
    </row>
    <row r="109" spans="30:35" x14ac:dyDescent="0.35">
      <c r="AD109" t="s">
        <v>943</v>
      </c>
      <c r="AE109" s="20" t="s">
        <v>1052</v>
      </c>
      <c r="AF109" s="20" t="s">
        <v>1053</v>
      </c>
      <c r="AG109" t="s">
        <v>1054</v>
      </c>
      <c r="AH109" t="str">
        <f>PROPER(Agencies[[#This Row],[HSP Name]])</f>
        <v>The Arthritis Society</v>
      </c>
      <c r="AI109" t="s">
        <v>1055</v>
      </c>
    </row>
    <row r="110" spans="30:35" x14ac:dyDescent="0.35">
      <c r="AD110" t="s">
        <v>943</v>
      </c>
      <c r="AE110" s="20" t="s">
        <v>1056</v>
      </c>
      <c r="AF110" s="20" t="s">
        <v>1057</v>
      </c>
      <c r="AG110" t="s">
        <v>1058</v>
      </c>
      <c r="AH110" t="str">
        <f>PROPER(Agencies[[#This Row],[HSP Name]])</f>
        <v>Town Of Halton Hills</v>
      </c>
      <c r="AI110" t="s">
        <v>1059</v>
      </c>
    </row>
    <row r="111" spans="30:35" x14ac:dyDescent="0.35">
      <c r="AD111" t="s">
        <v>943</v>
      </c>
      <c r="AE111" s="20" t="s">
        <v>1060</v>
      </c>
      <c r="AF111" s="20" t="s">
        <v>1061</v>
      </c>
      <c r="AG111" t="s">
        <v>1062</v>
      </c>
      <c r="AH111" t="str">
        <f>PROPER(Agencies[[#This Row],[HSP Name]])</f>
        <v>Trillium Health Partners</v>
      </c>
      <c r="AI111" t="s">
        <v>1063</v>
      </c>
    </row>
    <row r="112" spans="30:35" x14ac:dyDescent="0.35">
      <c r="AD112" t="s">
        <v>943</v>
      </c>
      <c r="AE112" s="20" t="s">
        <v>1064</v>
      </c>
      <c r="AF112" s="20" t="s">
        <v>1065</v>
      </c>
      <c r="AG112" t="s">
        <v>1066</v>
      </c>
      <c r="AH112" t="str">
        <f>PROPER(Agencies[[#This Row],[HSP Name]])</f>
        <v>Victorian Order Of Nurses For Canada - Ontario Branch</v>
      </c>
      <c r="AI112" t="s">
        <v>1067</v>
      </c>
    </row>
    <row r="113" spans="30:35" x14ac:dyDescent="0.35">
      <c r="AD113" t="s">
        <v>943</v>
      </c>
      <c r="AE113" s="20" t="s">
        <v>1068</v>
      </c>
      <c r="AF113" s="20" t="s">
        <v>1069</v>
      </c>
      <c r="AG113" t="s">
        <v>1070</v>
      </c>
      <c r="AH113" t="str">
        <f>PROPER(Agencies[[#This Row],[HSP Name]])</f>
        <v>Vision Loss Rehabilitation Canada</v>
      </c>
      <c r="AI113" t="s">
        <v>1071</v>
      </c>
    </row>
    <row r="114" spans="30:35" x14ac:dyDescent="0.35">
      <c r="AD114" t="s">
        <v>943</v>
      </c>
      <c r="AE114" s="20">
        <v>4587</v>
      </c>
      <c r="AF114" s="20" t="s">
        <v>836</v>
      </c>
      <c r="AG114" t="s">
        <v>1072</v>
      </c>
      <c r="AH114" t="str">
        <f>PROPER(Agencies[[#This Row],[HSP Name]])</f>
        <v>Yee Hong Centre For Geriatric Care - Mississauga</v>
      </c>
      <c r="AI114" t="s">
        <v>1073</v>
      </c>
    </row>
    <row r="115" spans="30:35" x14ac:dyDescent="0.35">
      <c r="AD115" t="s">
        <v>1074</v>
      </c>
      <c r="AE115" s="20">
        <v>4242</v>
      </c>
      <c r="AF115" s="20" t="s">
        <v>1075</v>
      </c>
      <c r="AG115" t="s">
        <v>1076</v>
      </c>
      <c r="AH115" t="str">
        <f>PROPER(Agencies[[#This Row],[HSP Name]])</f>
        <v>Alzheimer Society Of Muskoka</v>
      </c>
      <c r="AI115" t="s">
        <v>1077</v>
      </c>
    </row>
    <row r="116" spans="30:35" x14ac:dyDescent="0.35">
      <c r="AD116" t="s">
        <v>1074</v>
      </c>
      <c r="AE116" s="20">
        <v>4213</v>
      </c>
      <c r="AF116" s="20" t="s">
        <v>1078</v>
      </c>
      <c r="AG116" t="s">
        <v>1079</v>
      </c>
      <c r="AH116" t="str">
        <f>PROPER(Agencies[[#This Row],[HSP Name]])</f>
        <v>Alzheimer Society Of Simcoe County</v>
      </c>
      <c r="AI116" t="s">
        <v>1080</v>
      </c>
    </row>
    <row r="117" spans="30:35" x14ac:dyDescent="0.35">
      <c r="AD117" t="s">
        <v>1074</v>
      </c>
      <c r="AE117" s="20">
        <v>4256</v>
      </c>
      <c r="AF117" s="20" t="s">
        <v>1081</v>
      </c>
      <c r="AG117" t="s">
        <v>1082</v>
      </c>
      <c r="AH117" t="str">
        <f>PROPER(Agencies[[#This Row],[HSP Name]])</f>
        <v>Barrie Area Native Advisory Circle</v>
      </c>
      <c r="AI117" t="s">
        <v>1083</v>
      </c>
    </row>
    <row r="118" spans="30:35" x14ac:dyDescent="0.35">
      <c r="AD118" t="s">
        <v>1074</v>
      </c>
      <c r="AE118" s="20">
        <v>8039</v>
      </c>
      <c r="AF118" s="20" t="s">
        <v>1084</v>
      </c>
      <c r="AG118" t="s">
        <v>1085</v>
      </c>
      <c r="AH118" t="str">
        <f>PROPER(Agencies[[#This Row],[HSP Name]])</f>
        <v>Barrie Community Health Centre</v>
      </c>
      <c r="AI118" t="s">
        <v>1086</v>
      </c>
    </row>
    <row r="119" spans="30:35" x14ac:dyDescent="0.35">
      <c r="AD119" t="s">
        <v>1074</v>
      </c>
      <c r="AE119" s="20">
        <v>4211</v>
      </c>
      <c r="AF119" s="20" t="s">
        <v>1087</v>
      </c>
      <c r="AG119" t="s">
        <v>1088</v>
      </c>
      <c r="AH119" t="str">
        <f>PROPER(Agencies[[#This Row],[HSP Name]])</f>
        <v>Beausoleil First Nation</v>
      </c>
      <c r="AI119" t="s">
        <v>1089</v>
      </c>
    </row>
    <row r="120" spans="30:35" x14ac:dyDescent="0.35">
      <c r="AD120" t="s">
        <v>1074</v>
      </c>
      <c r="AE120" s="20">
        <v>4262</v>
      </c>
      <c r="AF120" s="20" t="s">
        <v>1090</v>
      </c>
      <c r="AG120" t="s">
        <v>1091</v>
      </c>
      <c r="AH120" t="str">
        <f>PROPER(Agencies[[#This Row],[HSP Name]])</f>
        <v>Brain Injury Services Of Simcoe County Inc.</v>
      </c>
      <c r="AI120" t="s">
        <v>1092</v>
      </c>
    </row>
    <row r="121" spans="30:35" x14ac:dyDescent="0.35">
      <c r="AD121" t="s">
        <v>1074</v>
      </c>
      <c r="AE121" s="20">
        <v>4009</v>
      </c>
      <c r="AF121" s="20" t="s">
        <v>1093</v>
      </c>
      <c r="AG121" t="s">
        <v>1094</v>
      </c>
      <c r="AH121" t="str">
        <f>PROPER(Agencies[[#This Row],[HSP Name]])</f>
        <v>Breaking Down Barriers - An Independent Living Centre Inc.</v>
      </c>
      <c r="AI121" t="s">
        <v>1095</v>
      </c>
    </row>
    <row r="122" spans="30:35" x14ac:dyDescent="0.35">
      <c r="AD122" t="s">
        <v>1074</v>
      </c>
      <c r="AE122" s="20">
        <v>390</v>
      </c>
      <c r="AF122" s="20" t="s">
        <v>1096</v>
      </c>
      <c r="AG122" t="s">
        <v>1097</v>
      </c>
      <c r="AH122" t="str">
        <f>PROPER(Agencies[[#This Row],[HSP Name]])</f>
        <v>Canadian Mental Health Association, Muskoka-Parry Sound Branch</v>
      </c>
      <c r="AI122" t="s">
        <v>1098</v>
      </c>
    </row>
    <row r="123" spans="30:35" x14ac:dyDescent="0.35">
      <c r="AD123" t="s">
        <v>1074</v>
      </c>
      <c r="AE123" s="20">
        <v>396</v>
      </c>
      <c r="AF123" s="20" t="s">
        <v>1099</v>
      </c>
      <c r="AG123" t="s">
        <v>1100</v>
      </c>
      <c r="AH123" t="str">
        <f>PROPER(Agencies[[#This Row],[HSP Name]])</f>
        <v>Canadian Mental Health Association, Simcoe County Branch</v>
      </c>
      <c r="AI123" t="s">
        <v>1101</v>
      </c>
    </row>
    <row r="124" spans="30:35" x14ac:dyDescent="0.35">
      <c r="AD124" t="s">
        <v>1074</v>
      </c>
      <c r="AE124" s="20">
        <v>4367</v>
      </c>
      <c r="AF124" s="20" t="s">
        <v>1102</v>
      </c>
      <c r="AG124" t="s">
        <v>1103</v>
      </c>
      <c r="AH124" t="str">
        <f>PROPER(Agencies[[#This Row],[HSP Name]])</f>
        <v>Canadian Red Cross Society</v>
      </c>
      <c r="AI124" t="s">
        <v>1104</v>
      </c>
    </row>
    <row r="125" spans="30:35" x14ac:dyDescent="0.35">
      <c r="AD125" t="s">
        <v>1074</v>
      </c>
      <c r="AE125" s="20">
        <v>8014</v>
      </c>
      <c r="AF125" s="20" t="s">
        <v>1105</v>
      </c>
      <c r="AG125" t="s">
        <v>1106</v>
      </c>
      <c r="AH125" t="str">
        <f>PROPER(Agencies[[#This Row],[HSP Name]])</f>
        <v>Centre De Santé Communautaire Chigamik Community Health Centre Inc.</v>
      </c>
      <c r="AI125" t="s">
        <v>1107</v>
      </c>
    </row>
    <row r="126" spans="30:35" x14ac:dyDescent="0.35">
      <c r="AD126" t="s">
        <v>1074</v>
      </c>
      <c r="AE126" s="20">
        <v>4271</v>
      </c>
      <c r="AF126" s="20" t="s">
        <v>1108</v>
      </c>
      <c r="AG126" t="s">
        <v>1109</v>
      </c>
      <c r="AH126" t="str">
        <f>PROPER(Agencies[[#This Row],[HSP Name]])</f>
        <v>Chippewas Of Rama First Nation</v>
      </c>
      <c r="AI126" t="s">
        <v>1110</v>
      </c>
    </row>
    <row r="127" spans="30:35" x14ac:dyDescent="0.35">
      <c r="AD127" t="s">
        <v>1074</v>
      </c>
      <c r="AE127" s="20">
        <v>640</v>
      </c>
      <c r="AF127" s="20" t="s">
        <v>1111</v>
      </c>
      <c r="AG127" t="s">
        <v>1112</v>
      </c>
      <c r="AH127" t="str">
        <f>PROPER(Agencies[[#This Row],[HSP Name]])</f>
        <v>Collingwood General And Marine Hospital</v>
      </c>
      <c r="AI127" t="s">
        <v>1113</v>
      </c>
    </row>
    <row r="128" spans="30:35" x14ac:dyDescent="0.35">
      <c r="AD128" t="s">
        <v>1074</v>
      </c>
      <c r="AE128" s="20">
        <v>4283</v>
      </c>
      <c r="AF128" s="20" t="s">
        <v>1114</v>
      </c>
      <c r="AG128" t="s">
        <v>1115</v>
      </c>
      <c r="AH128" t="str">
        <f>PROPER(Agencies[[#This Row],[HSP Name]])</f>
        <v>Deaf Access Simcoe-Muskoka Inc.</v>
      </c>
      <c r="AI128" t="s">
        <v>1116</v>
      </c>
    </row>
    <row r="129" spans="30:35" x14ac:dyDescent="0.35">
      <c r="AD129" t="s">
        <v>1074</v>
      </c>
      <c r="AE129" s="20">
        <v>509</v>
      </c>
      <c r="AF129" s="20" t="s">
        <v>1117</v>
      </c>
      <c r="AG129" t="s">
        <v>1118</v>
      </c>
      <c r="AH129" t="str">
        <f>PROPER(Agencies[[#This Row],[HSP Name]])</f>
        <v>Enaahtig Healing Lodge And Learning Centre</v>
      </c>
      <c r="AI129" t="s">
        <v>1119</v>
      </c>
    </row>
    <row r="130" spans="30:35" x14ac:dyDescent="0.35">
      <c r="AD130" t="s">
        <v>1074</v>
      </c>
      <c r="AE130" s="20">
        <v>4293</v>
      </c>
      <c r="AF130" s="20" t="s">
        <v>1120</v>
      </c>
      <c r="AG130" t="s">
        <v>1121</v>
      </c>
      <c r="AH130" t="str">
        <f>PROPER(Agencies[[#This Row],[HSP Name]])</f>
        <v>Gravenhurst Senior Citizens Club Inc.</v>
      </c>
      <c r="AI130" t="s">
        <v>1122</v>
      </c>
    </row>
    <row r="131" spans="30:35" x14ac:dyDescent="0.35">
      <c r="AD131" t="s">
        <v>1074</v>
      </c>
      <c r="AE131" s="20">
        <v>4294</v>
      </c>
      <c r="AF131" s="20" t="s">
        <v>1123</v>
      </c>
      <c r="AG131" t="s">
        <v>1124</v>
      </c>
      <c r="AH131" t="str">
        <f>PROPER(Agencies[[#This Row],[HSP Name]])</f>
        <v xml:space="preserve">Grove Park Home For Senior Citizens </v>
      </c>
      <c r="AI131" t="s">
        <v>1125</v>
      </c>
    </row>
    <row r="132" spans="30:35" x14ac:dyDescent="0.35">
      <c r="AD132" t="s">
        <v>1074</v>
      </c>
      <c r="AE132" s="20">
        <v>4024</v>
      </c>
      <c r="AF132" s="20" t="s">
        <v>1126</v>
      </c>
      <c r="AG132" t="s">
        <v>1127</v>
      </c>
      <c r="AH132" t="str">
        <f>PROPER(Agencies[[#This Row],[HSP Name]])</f>
        <v>Helping Hands, Orillia</v>
      </c>
      <c r="AI132" t="s">
        <v>1128</v>
      </c>
    </row>
    <row r="133" spans="30:35" x14ac:dyDescent="0.35">
      <c r="AD133" t="s">
        <v>1074</v>
      </c>
      <c r="AE133" s="20">
        <v>4301</v>
      </c>
      <c r="AF133" s="20" t="s">
        <v>1129</v>
      </c>
      <c r="AG133" t="s">
        <v>1130</v>
      </c>
      <c r="AH133" t="str">
        <f>PROPER(Agencies[[#This Row],[HSP Name]])</f>
        <v>Hospice Georgian Triangle</v>
      </c>
      <c r="AI133" t="s">
        <v>1131</v>
      </c>
    </row>
    <row r="134" spans="30:35" x14ac:dyDescent="0.35">
      <c r="AD134" t="s">
        <v>1074</v>
      </c>
      <c r="AE134" s="20">
        <v>4027</v>
      </c>
      <c r="AF134" s="20" t="s">
        <v>1132</v>
      </c>
      <c r="AG134" t="s">
        <v>1133</v>
      </c>
      <c r="AH134" t="str">
        <f>PROPER(Agencies[[#This Row],[HSP Name]])</f>
        <v>Hospice Huronia</v>
      </c>
      <c r="AI134" t="s">
        <v>1134</v>
      </c>
    </row>
    <row r="135" spans="30:35" x14ac:dyDescent="0.35">
      <c r="AD135" t="s">
        <v>1074</v>
      </c>
      <c r="AE135" s="20">
        <v>4308</v>
      </c>
      <c r="AF135" s="20" t="s">
        <v>1135</v>
      </c>
      <c r="AG135" t="s">
        <v>1136</v>
      </c>
      <c r="AH135" t="str">
        <f>PROPER(Agencies[[#This Row],[HSP Name]])</f>
        <v>Hospice Simcoe</v>
      </c>
      <c r="AI135" t="s">
        <v>1137</v>
      </c>
    </row>
    <row r="136" spans="30:35" x14ac:dyDescent="0.35">
      <c r="AD136" t="s">
        <v>1074</v>
      </c>
      <c r="AE136" s="20">
        <v>4489</v>
      </c>
      <c r="AF136" s="20" t="s">
        <v>1138</v>
      </c>
      <c r="AG136" t="s">
        <v>1139</v>
      </c>
      <c r="AH136" t="str">
        <f>PROPER(Agencies[[#This Row],[HSP Name]])</f>
        <v>Huntsville Meals On Wheels Inc.</v>
      </c>
      <c r="AI136" t="s">
        <v>1140</v>
      </c>
    </row>
    <row r="137" spans="30:35" x14ac:dyDescent="0.35">
      <c r="AD137" t="s">
        <v>1074</v>
      </c>
      <c r="AE137" s="20">
        <v>381</v>
      </c>
      <c r="AF137" s="20" t="s">
        <v>1141</v>
      </c>
      <c r="AG137" t="s">
        <v>1142</v>
      </c>
      <c r="AH137" t="str">
        <f>PROPER(Agencies[[#This Row],[HSP Name]])</f>
        <v>Huronia Transition Homes</v>
      </c>
      <c r="AI137" t="s">
        <v>1143</v>
      </c>
    </row>
    <row r="138" spans="30:35" x14ac:dyDescent="0.35">
      <c r="AD138" t="s">
        <v>1074</v>
      </c>
      <c r="AE138" s="20">
        <v>4179</v>
      </c>
      <c r="AF138" s="20" t="s">
        <v>1144</v>
      </c>
      <c r="AG138" t="s">
        <v>1145</v>
      </c>
      <c r="AH138" t="str">
        <f>PROPER(Agencies[[#This Row],[HSP Name]])</f>
        <v>Independent Living Services Simcoe County</v>
      </c>
      <c r="AI138" t="s">
        <v>1146</v>
      </c>
    </row>
    <row r="139" spans="30:35" x14ac:dyDescent="0.35">
      <c r="AD139" t="s">
        <v>1074</v>
      </c>
      <c r="AE139" s="20">
        <v>4135</v>
      </c>
      <c r="AF139" s="20" t="s">
        <v>1147</v>
      </c>
      <c r="AG139" t="s">
        <v>1148</v>
      </c>
      <c r="AH139" t="str">
        <f>PROPER(Agencies[[#This Row],[HSP Name]])</f>
        <v>Ioof Senior Citizen Homes Inc.</v>
      </c>
      <c r="AI139" t="s">
        <v>1149</v>
      </c>
    </row>
    <row r="140" spans="30:35" x14ac:dyDescent="0.35">
      <c r="AD140" t="s">
        <v>1074</v>
      </c>
      <c r="AE140" s="20">
        <v>323</v>
      </c>
      <c r="AF140" s="20" t="s">
        <v>761</v>
      </c>
      <c r="AG140" t="s">
        <v>1150</v>
      </c>
      <c r="AH140" t="str">
        <f>PROPER(Agencies[[#This Row],[HSP Name]])</f>
        <v>Loft Community Services</v>
      </c>
      <c r="AI140" t="s">
        <v>763</v>
      </c>
    </row>
    <row r="141" spans="30:35" x14ac:dyDescent="0.35">
      <c r="AD141" t="s">
        <v>1074</v>
      </c>
      <c r="AE141" s="20">
        <v>8066</v>
      </c>
      <c r="AF141" s="20" t="s">
        <v>773</v>
      </c>
      <c r="AG141" t="s">
        <v>1151</v>
      </c>
      <c r="AH141" t="str">
        <f>PROPER(Agencies[[#This Row],[HSP Name]])</f>
        <v>March Of Dimes Canada</v>
      </c>
      <c r="AI141" t="s">
        <v>1152</v>
      </c>
    </row>
    <row r="142" spans="30:35" x14ac:dyDescent="0.35">
      <c r="AD142" t="s">
        <v>1074</v>
      </c>
      <c r="AE142" s="20">
        <v>4332</v>
      </c>
      <c r="AF142" s="20" t="s">
        <v>1153</v>
      </c>
      <c r="AG142" t="s">
        <v>1154</v>
      </c>
      <c r="AH142" t="str">
        <f>PROPER(Agencies[[#This Row],[HSP Name]])</f>
        <v>Moose Deer Point First Nation</v>
      </c>
      <c r="AI142" t="s">
        <v>1155</v>
      </c>
    </row>
    <row r="143" spans="30:35" x14ac:dyDescent="0.35">
      <c r="AD143" t="s">
        <v>1074</v>
      </c>
      <c r="AE143" s="20">
        <v>4038</v>
      </c>
      <c r="AF143" s="20" t="s">
        <v>1156</v>
      </c>
      <c r="AG143" t="s">
        <v>1157</v>
      </c>
      <c r="AH143" t="str">
        <f>PROPER(Agencies[[#This Row],[HSP Name]])</f>
        <v>Muskoka Seniors Home Assistance</v>
      </c>
      <c r="AI143" t="s">
        <v>1158</v>
      </c>
    </row>
    <row r="144" spans="30:35" x14ac:dyDescent="0.35">
      <c r="AD144" t="s">
        <v>1074</v>
      </c>
      <c r="AE144" s="20">
        <v>4828</v>
      </c>
      <c r="AF144" s="20" t="s">
        <v>1159</v>
      </c>
      <c r="AG144" t="s">
        <v>1160</v>
      </c>
      <c r="AH144" t="str">
        <f>PROPER(Agencies[[#This Row],[HSP Name]])</f>
        <v>North Simcoe Muskoka Hospice Palliative Care Network</v>
      </c>
      <c r="AI144" t="s">
        <v>1161</v>
      </c>
    </row>
    <row r="145" spans="30:35" x14ac:dyDescent="0.35">
      <c r="AD145" t="s">
        <v>1074</v>
      </c>
      <c r="AE145" s="20">
        <v>745</v>
      </c>
      <c r="AF145" s="20" t="s">
        <v>1162</v>
      </c>
      <c r="AG145" t="s">
        <v>1163</v>
      </c>
      <c r="AH145" t="str">
        <f>PROPER(Agencies[[#This Row],[HSP Name]])</f>
        <v>Orillia Soldiers' Memorial Hospital</v>
      </c>
      <c r="AI145" t="s">
        <v>1164</v>
      </c>
    </row>
    <row r="146" spans="30:35" x14ac:dyDescent="0.35">
      <c r="AD146" t="s">
        <v>1074</v>
      </c>
      <c r="AE146" s="20">
        <v>606</v>
      </c>
      <c r="AF146" s="20" t="s">
        <v>1165</v>
      </c>
      <c r="AG146" t="s">
        <v>1166</v>
      </c>
      <c r="AH146" t="str">
        <f>PROPER(Agencies[[#This Row],[HSP Name]])</f>
        <v>Royal Victoria Regional Health Centre</v>
      </c>
      <c r="AI146" t="s">
        <v>1167</v>
      </c>
    </row>
    <row r="147" spans="30:35" x14ac:dyDescent="0.35">
      <c r="AD147" t="s">
        <v>1074</v>
      </c>
      <c r="AE147" s="20">
        <v>511</v>
      </c>
      <c r="AF147" s="20" t="s">
        <v>1168</v>
      </c>
      <c r="AG147" t="s">
        <v>1169</v>
      </c>
      <c r="AH147" t="str">
        <f>PROPER(Agencies[[#This Row],[HSP Name]])</f>
        <v>Seven South Street Treatment Centre</v>
      </c>
      <c r="AI147" t="s">
        <v>1170</v>
      </c>
    </row>
    <row r="148" spans="30:35" x14ac:dyDescent="0.35">
      <c r="AD148" t="s">
        <v>1074</v>
      </c>
      <c r="AE148" s="20">
        <v>265</v>
      </c>
      <c r="AF148" s="20" t="s">
        <v>1171</v>
      </c>
      <c r="AG148" t="s">
        <v>1172</v>
      </c>
      <c r="AH148" t="str">
        <f>PROPER(Agencies[[#This Row],[HSP Name]])</f>
        <v xml:space="preserve">Simcoe Peer Support For Mental Health &amp; Addictions </v>
      </c>
      <c r="AI148" t="s">
        <v>1173</v>
      </c>
    </row>
    <row r="149" spans="30:35" x14ac:dyDescent="0.35">
      <c r="AD149" t="s">
        <v>1074</v>
      </c>
      <c r="AE149" s="20">
        <v>8035</v>
      </c>
      <c r="AF149" s="20" t="s">
        <v>1174</v>
      </c>
      <c r="AG149" t="s">
        <v>1175</v>
      </c>
      <c r="AH149" t="str">
        <f>PROPER(Agencies[[#This Row],[HSP Name]])</f>
        <v>South Georgian Bay Community Health Centre</v>
      </c>
      <c r="AI149" t="s">
        <v>1176</v>
      </c>
    </row>
    <row r="150" spans="30:35" x14ac:dyDescent="0.35">
      <c r="AD150" t="s">
        <v>1074</v>
      </c>
      <c r="AE150" s="20">
        <v>4225</v>
      </c>
      <c r="AF150" s="20" t="s">
        <v>1177</v>
      </c>
      <c r="AG150" t="s">
        <v>1178</v>
      </c>
      <c r="AH150" t="str">
        <f>PROPER(Agencies[[#This Row],[HSP Name]])</f>
        <v>The Corporation Of The County Of Simcoe</v>
      </c>
      <c r="AI150" t="s">
        <v>1179</v>
      </c>
    </row>
    <row r="151" spans="30:35" x14ac:dyDescent="0.35">
      <c r="AD151" t="s">
        <v>1074</v>
      </c>
      <c r="AE151" s="20">
        <v>4382</v>
      </c>
      <c r="AF151" s="20" t="s">
        <v>1065</v>
      </c>
      <c r="AG151" t="s">
        <v>1180</v>
      </c>
      <c r="AH151" t="str">
        <f>PROPER(Agencies[[#This Row],[HSP Name]])</f>
        <v>Victorian Order Of Nurses For Canada-Ontario Branch, Simcoe County</v>
      </c>
      <c r="AI151" t="s">
        <v>1067</v>
      </c>
    </row>
    <row r="152" spans="30:35" x14ac:dyDescent="0.35">
      <c r="AD152" t="s">
        <v>1074</v>
      </c>
      <c r="AE152" s="20">
        <v>4845</v>
      </c>
      <c r="AF152" s="20" t="s">
        <v>1069</v>
      </c>
      <c r="AG152" t="s">
        <v>1181</v>
      </c>
      <c r="AH152" t="str">
        <f>PROPER(Agencies[[#This Row],[HSP Name]])</f>
        <v>Vision Loss Rehabilitation Canada</v>
      </c>
      <c r="AI152" t="s">
        <v>1182</v>
      </c>
    </row>
    <row r="153" spans="30:35" x14ac:dyDescent="0.35">
      <c r="AD153" t="s">
        <v>1074</v>
      </c>
      <c r="AE153" s="20">
        <v>4385</v>
      </c>
      <c r="AF153" s="20" t="s">
        <v>1183</v>
      </c>
      <c r="AG153" t="s">
        <v>1184</v>
      </c>
      <c r="AH153" t="str">
        <f>PROPER(Agencies[[#This Row],[HSP Name]])</f>
        <v>Wahta Mohawks</v>
      </c>
      <c r="AI153" t="s">
        <v>1185</v>
      </c>
    </row>
    <row r="154" spans="30:35" x14ac:dyDescent="0.35">
      <c r="AD154" t="s">
        <v>1074</v>
      </c>
      <c r="AE154" s="20">
        <v>972</v>
      </c>
      <c r="AF154" s="20" t="s">
        <v>1186</v>
      </c>
      <c r="AG154" t="s">
        <v>1187</v>
      </c>
      <c r="AH154" t="str">
        <f>PROPER(Agencies[[#This Row],[HSP Name]])</f>
        <v>Waypoint Centre For Mental Health Care</v>
      </c>
      <c r="AI154" t="s">
        <v>1188</v>
      </c>
    </row>
    <row r="155" spans="30:35" x14ac:dyDescent="0.35">
      <c r="AD155" t="s">
        <v>1074</v>
      </c>
      <c r="AE155" s="20">
        <v>349</v>
      </c>
      <c r="AF155" s="20" t="s">
        <v>1189</v>
      </c>
      <c r="AG155" t="s">
        <v>1190</v>
      </c>
      <c r="AH155" t="str">
        <f>PROPER(Agencies[[#This Row],[HSP Name]])</f>
        <v>Wendat Community Programs</v>
      </c>
      <c r="AI155" t="s">
        <v>1191</v>
      </c>
    </row>
  </sheetData>
  <sortState xmlns:xlrd2="http://schemas.microsoft.com/office/spreadsheetml/2017/richdata2" ref="K4:K12">
    <sortCondition ref="K4:K12"/>
  </sortState>
  <mergeCells count="1">
    <mergeCell ref="M1:AB1"/>
  </mergeCells>
  <phoneticPr fontId="24" type="noConversion"/>
  <dataValidations disablePrompts="1" count="1">
    <dataValidation type="list" allowBlank="1" showInputMessage="1" showErrorMessage="1" sqref="E25" xr:uid="{24C954F8-C9C9-4055-B2D6-FB45675F531A}">
      <formula1>DDFilter_Req</formula1>
    </dataValidation>
  </dataValidations>
  <pageMargins left="0.7" right="0.7" top="0.75" bottom="0.75" header="0.3" footer="0.3"/>
  <pageSetup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nitiativeName xmlns="b3c0b8fa-b98a-43aa-8234-a3517546a910" xsi:nil="true"/>
    <InitiativeCode xmlns="b3c0b8fa-b98a-43aa-8234-a3517546a910" xsi:nil="true"/>
    <InitiativeShortForm xmlns="b3c0b8fa-b98a-43aa-8234-a3517546a910" xsi:nil="true"/>
    <InitiativeShortTitle xmlns="b3c0b8fa-b98a-43aa-8234-a3517546a910" xsi:nil="true"/>
    <SharedWithUsers xmlns="cdfa9f76-645e-490e-b49f-491f35dfa210">
      <UserInfo>
        <DisplayName>PAFA Members</DisplayName>
        <AccountId>20</AccountId>
        <AccountType/>
      </UserInfo>
      <UserInfo>
        <DisplayName>PAFA Visitors</DisplayName>
        <AccountId>22</AccountId>
        <AccountType/>
      </UserInfo>
      <UserInfo>
        <DisplayName>Comm Admin</DisplayName>
        <AccountId>39</AccountId>
        <AccountType/>
      </UserInfo>
      <UserInfo>
        <DisplayName>PAFA Management</DisplayName>
        <AccountId>24</AccountId>
        <AccountType/>
      </UserInfo>
      <UserInfo>
        <DisplayName>Admin</DisplayName>
        <AccountId>34</AccountId>
        <AccountType/>
      </UserInfo>
      <UserInfo>
        <DisplayName>PAFA Grant Management</DisplayName>
        <AccountId>36</AccountId>
        <AccountType/>
      </UserInfo>
      <UserInfo>
        <DisplayName>Planning</DisplayName>
        <AccountId>33</AccountId>
        <AccountType/>
      </UserInfo>
      <UserInfo>
        <DisplayName>Regional</DisplayName>
        <AccountId>37</AccountId>
        <AccountType/>
      </UserInfo>
      <UserInfo>
        <DisplayName>PAFA</DisplayName>
        <AccountId>35</AccountId>
        <AccountType/>
      </UserInfo>
    </SharedWithUsers>
    <Editor0 xmlns="b3c0b8fa-b98a-43aa-8234-a3517546a910" xsi:nil="true"/>
    <Sector xmlns="b3c0b8fa-b98a-43aa-8234-a3517546a910" xsi:nil="true"/>
    <lcf76f155ced4ddcb4097134ff3c332f xmlns="b3c0b8fa-b98a-43aa-8234-a3517546a910">
      <Terms xmlns="http://schemas.microsoft.com/office/infopath/2007/PartnerControls"/>
    </lcf76f155ced4ddcb4097134ff3c332f>
    <TaxCatchAll xmlns="cdfa9f76-645e-490e-b49f-491f35dfa21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14CE4456614FF488319CD6CF5695032" ma:contentTypeVersion="19" ma:contentTypeDescription="Create a new document." ma:contentTypeScope="" ma:versionID="be19ed0a611c14f1cd7d1f483ccede4a">
  <xsd:schema xmlns:xsd="http://www.w3.org/2001/XMLSchema" xmlns:xs="http://www.w3.org/2001/XMLSchema" xmlns:p="http://schemas.microsoft.com/office/2006/metadata/properties" xmlns:ns2="b3c0b8fa-b98a-43aa-8234-a3517546a910" xmlns:ns3="cdfa9f76-645e-490e-b49f-491f35dfa210" targetNamespace="http://schemas.microsoft.com/office/2006/metadata/properties" ma:root="true" ma:fieldsID="5dcc67ade318f65fa04628a52746cb3f" ns2:_="" ns3:_="">
    <xsd:import namespace="b3c0b8fa-b98a-43aa-8234-a3517546a910"/>
    <xsd:import namespace="cdfa9f76-645e-490e-b49f-491f35dfa21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InitiativeCode" minOccurs="0"/>
                <xsd:element ref="ns2:InitiativeName" minOccurs="0"/>
                <xsd:element ref="ns2:InitiativeShortForm" minOccurs="0"/>
                <xsd:element ref="ns2:InitiativeShortTitle" minOccurs="0"/>
                <xsd:element ref="ns3:SharedWithUsers" minOccurs="0"/>
                <xsd:element ref="ns3:SharedWithDetails" minOccurs="0"/>
                <xsd:element ref="ns2:Editor0" minOccurs="0"/>
                <xsd:element ref="ns2:Sector"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c0b8fa-b98a-43aa-8234-a3517546a9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InitiativeCode" ma:index="12" nillable="true" ma:displayName="Initiative Code" ma:format="Dropdown" ma:internalName="InitiativeCode">
      <xsd:simpleType>
        <xsd:restriction base="dms:Text">
          <xsd:maxLength value="255"/>
        </xsd:restriction>
      </xsd:simpleType>
    </xsd:element>
    <xsd:element name="InitiativeName" ma:index="13" nillable="true" ma:displayName="Initiative Title" ma:format="Dropdown" ma:internalName="InitiativeName">
      <xsd:simpleType>
        <xsd:restriction base="dms:Text">
          <xsd:maxLength value="255"/>
        </xsd:restriction>
      </xsd:simpleType>
    </xsd:element>
    <xsd:element name="InitiativeShortForm" ma:index="14" nillable="true" ma:displayName="Initiative Acronym" ma:format="Dropdown" ma:internalName="InitiativeShortForm">
      <xsd:simpleType>
        <xsd:restriction base="dms:Text">
          <xsd:maxLength value="255"/>
        </xsd:restriction>
      </xsd:simpleType>
    </xsd:element>
    <xsd:element name="InitiativeShortTitle" ma:index="15" nillable="true" ma:displayName="Initiative Short Title" ma:format="Dropdown" ma:internalName="InitiativeShortTitle">
      <xsd:simpleType>
        <xsd:restriction base="dms:Text">
          <xsd:maxLength value="255"/>
        </xsd:restriction>
      </xsd:simpleType>
    </xsd:element>
    <xsd:element name="Editor0" ma:index="18" nillable="true" ma:displayName="Editor" ma:format="Dropdown" ma:internalName="Editor0">
      <xsd:simpleType>
        <xsd:restriction base="dms:Choice">
          <xsd:enumeration value="Donna"/>
          <xsd:enumeration value="Mitchell"/>
          <xsd:enumeration value="Supriti"/>
        </xsd:restriction>
      </xsd:simpleType>
    </xsd:element>
    <xsd:element name="Sector" ma:index="19" nillable="true" ma:displayName="Sector" ma:format="Dropdown" ma:indexed="true" ma:internalName="Sector">
      <xsd:simpleType>
        <xsd:restriction base="dms:Choice">
          <xsd:enumeration value="HOSP"/>
          <xsd:enumeration value="COMM"/>
          <xsd:enumeration value="LTC"/>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44c0932-e3b5-4cef-bb0d-953d3280f551" ma:termSetId="09814cd3-568e-fe90-9814-8d621ff8fb84" ma:anchorId="fba54fb3-c3e1-fe81-a776-ca4b69148c4d" ma:open="true" ma:isKeyword="false">
      <xsd:complexType>
        <xsd:sequence>
          <xsd:element ref="pc:Terms" minOccurs="0" maxOccurs="1"/>
        </xsd:sequence>
      </xsd:complex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fa9f76-645e-490e-b49f-491f35dfa210" elementFormDefault="qualified">
    <xsd:import namespace="http://schemas.microsoft.com/office/2006/documentManagement/types"/>
    <xsd:import namespace="http://schemas.microsoft.com/office/infopath/2007/PartnerControls"/>
    <xsd:element name="SharedWithUsers" ma:index="16"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2b5b129-6e09-4db8-a823-b08a3ef29902}" ma:internalName="TaxCatchAll" ma:showField="CatchAllData" ma:web="cdfa9f76-645e-490e-b49f-491f35dfa2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5B351B-6AB5-4742-B912-486793D0E76C}">
  <ds:schemaRefs>
    <ds:schemaRef ds:uri="http://schemas.microsoft.com/office/infopath/2007/PartnerControls"/>
    <ds:schemaRef ds:uri="cdfa9f76-645e-490e-b49f-491f35dfa210"/>
    <ds:schemaRef ds:uri="http://purl.org/dc/terms/"/>
    <ds:schemaRef ds:uri="http://schemas.openxmlformats.org/package/2006/metadata/core-properties"/>
    <ds:schemaRef ds:uri="http://schemas.microsoft.com/office/2006/documentManagement/types"/>
    <ds:schemaRef ds:uri="http://purl.org/dc/elements/1.1/"/>
    <ds:schemaRef ds:uri="b3c0b8fa-b98a-43aa-8234-a3517546a910"/>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065F5A3D-1DFD-4B72-81A7-3A89118274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c0b8fa-b98a-43aa-8234-a3517546a910"/>
    <ds:schemaRef ds:uri="cdfa9f76-645e-490e-b49f-491f35dfa2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38626E-C2F2-4771-8C50-FE4DB5F5AA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25</vt:i4>
      </vt:variant>
    </vt:vector>
  </HeadingPairs>
  <TitlesOfParts>
    <vt:vector size="32" baseType="lpstr">
      <vt:lpstr>ReadMe</vt:lpstr>
      <vt:lpstr>HSP Info</vt:lpstr>
      <vt:lpstr>Forecasted Surplus</vt:lpstr>
      <vt:lpstr>Request to Use Surplus</vt:lpstr>
      <vt:lpstr>Recovery</vt:lpstr>
      <vt:lpstr>FC</vt:lpstr>
      <vt:lpstr>Drop-Downs</vt:lpstr>
      <vt:lpstr>'Forecasted Surplus'!_ftn1</vt:lpstr>
      <vt:lpstr>'Forecasted Surplus'!_ftnref1</vt:lpstr>
      <vt:lpstr>Check_Realloc</vt:lpstr>
      <vt:lpstr>Check_Req</vt:lpstr>
      <vt:lpstr>Count_Recoveries_New</vt:lpstr>
      <vt:lpstr>DD_FundingSource</vt:lpstr>
      <vt:lpstr>DD_Realloc</vt:lpstr>
      <vt:lpstr>DD_Req</vt:lpstr>
      <vt:lpstr>FC_Surplus</vt:lpstr>
      <vt:lpstr>Header_FundingSource</vt:lpstr>
      <vt:lpstr>Header_Realloc</vt:lpstr>
      <vt:lpstr>Header_Req</vt:lpstr>
      <vt:lpstr>Headers_TPBE_FC</vt:lpstr>
      <vt:lpstr>List_FC</vt:lpstr>
      <vt:lpstr>List_HSP</vt:lpstr>
      <vt:lpstr>List_LHIN</vt:lpstr>
      <vt:lpstr>List_TPBE</vt:lpstr>
      <vt:lpstr>OHRS_FC</vt:lpstr>
      <vt:lpstr>OHRS_M</vt:lpstr>
      <vt:lpstr>OHRSM_Index</vt:lpstr>
      <vt:lpstr>Surplus_FC_Header</vt:lpstr>
      <vt:lpstr>Surplus_FC_List</vt:lpstr>
      <vt:lpstr>Surplus_TPBE_Header</vt:lpstr>
      <vt:lpstr>Surplus_TPBE_List</vt:lpstr>
      <vt:lpstr>TPBE_FC_DD_Index</vt:lpstr>
    </vt:vector>
  </TitlesOfParts>
  <Manager/>
  <Company>Health Shared Services Ontario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Mitchell Newman</dc:creator>
  <cp:keywords/>
  <dc:description/>
  <cp:lastModifiedBy>Mitchell, Jenna</cp:lastModifiedBy>
  <cp:revision/>
  <dcterms:created xsi:type="dcterms:W3CDTF">2021-12-14T14:42:52Z</dcterms:created>
  <dcterms:modified xsi:type="dcterms:W3CDTF">2024-04-17T13:31:04Z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0x010100B14CE4456614FF488319CD6CF5695032</vt:lpwstr>
  </property>
  <property fmtid="{D5CDD505-2E9C-101B-9397-08002B2CF9AE}" pid="3" name="_dlc_DocIdItemGuid">
    <vt:lpwstr>8a6e8b03-bed9-4094-8aba-c25f7d0501bd</vt:lpwstr>
  </property>
  <property fmtid="{D5CDD505-2E9C-101B-9397-08002B2CF9AE}" pid="4" name="_ExtendedDescription">
    <vt:lpwstr/>
  </property>
  <property fmtid="{D5CDD505-2E9C-101B-9397-08002B2CF9AE}" pid="5" name="MediaServiceImageTags">
    <vt:lpwstr/>
  </property>
  <property fmtid="{D5CDD505-2E9C-101B-9397-08002B2CF9AE}" pid="6" name="MigrationReviewStatus">
    <vt:lpwstr>Awaiting Review</vt:lpwstr>
  </property>
  <property fmtid="{D5CDD505-2E9C-101B-9397-08002B2CF9AE}" pid="7" name="SharedWithUsers">
    <vt:lpwstr>20;#PAFA Members;#22;#PAFA Visitors;#39;#Comm Admin;#24;#PAFA Management;#34;#Admin;#36;#PAFA Grant Management;#33;#Planning;#37;#Regional;#35;#PAFA</vt:lpwstr>
  </property>
</Properties>
</file>